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3年\项目\2共有产权\"/>
    </mc:Choice>
  </mc:AlternateContent>
  <xr:revisionPtr revIDLastSave="0" documentId="13_ncr:1_{CA37438D-8C13-414E-B883-E62A8D4D9375}" xr6:coauthVersionLast="45" xr6:coauthVersionMax="45" xr10:uidLastSave="{00000000-0000-0000-0000-000000000000}"/>
  <bookViews>
    <workbookView xWindow="-120" yWindow="-120" windowWidth="20730" windowHeight="1116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state="hidden"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state="hidden" r:id="rId24"/>
    <sheet name="地价" sheetId="71" state="hidden" r:id="rId25"/>
    <sheet name="招拍挂案例" sheetId="81" r:id="rId26"/>
    <sheet name="收益法 (元)" sheetId="67" state="hidden" r:id="rId27"/>
    <sheet name="收益法-酒店模型" sheetId="77" state="hidden" r:id="rId28"/>
    <sheet name="收益法（汇总）" sheetId="70" state="hidden" r:id="rId29"/>
    <sheet name="比较法-住宅" sheetId="21" r:id="rId30"/>
    <sheet name="共有产权房案例" sheetId="82" r:id="rId31"/>
    <sheet name="系统读取表" sheetId="74" r:id="rId32"/>
    <sheet name="sheet1" sheetId="83"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存贷款利率" sheetId="73" state="hidden" r:id="rId49"/>
  </sheets>
  <externalReferences>
    <externalReference r:id="rId50"/>
    <externalReference r:id="rId51"/>
  </externalReferences>
  <definedNames>
    <definedName name="_xlnm._FilterDatabase" localSheetId="32" hidden="1">sheet1!$A$1:$AZ$74</definedName>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9"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8">'土地比较法-工业'!$A$1:$K$61,'土地比较法-工业'!$A$64:$M$121</definedName>
    <definedName name="_xlnm.Print_Area" localSheetId="22">'土地比较法-住宅、综合'!$A$1:$K$65,'土地比较法-住宅、综合'!$A$68:$M$131</definedName>
    <definedName name="_xlnm.Print_Area" localSheetId="3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6" i="73" l="1"/>
  <c r="K1" i="73"/>
  <c r="D5" i="73"/>
  <c r="G1" i="73"/>
  <c r="B40" i="1"/>
  <c r="F22" i="69"/>
  <c r="C23" i="69"/>
  <c r="C24" i="69"/>
  <c r="C25" i="69"/>
  <c r="C22" i="69"/>
  <c r="F27" i="69"/>
  <c r="C28" i="69"/>
  <c r="C27" i="69"/>
  <c r="C26" i="69"/>
  <c r="D22" i="69"/>
  <c r="C29" i="69"/>
  <c r="D27" i="69"/>
  <c r="C31" i="69"/>
  <c r="C34" i="69"/>
  <c r="C35" i="69"/>
  <c r="C36" i="69"/>
  <c r="D9" i="69"/>
  <c r="D10" i="69"/>
  <c r="D19" i="69"/>
  <c r="D37" i="69"/>
  <c r="C37" i="69"/>
  <c r="C38" i="69"/>
  <c r="C33" i="69"/>
  <c r="C39" i="69"/>
  <c r="C42" i="69"/>
  <c r="C43" i="69"/>
  <c r="C41" i="69"/>
  <c r="C46" i="69"/>
  <c r="C45" i="69"/>
  <c r="E48" i="69"/>
  <c r="C44" i="69"/>
  <c r="D41" i="69"/>
  <c r="C47" i="69"/>
  <c r="D45" i="69"/>
  <c r="C49" i="69"/>
  <c r="C51" i="69"/>
  <c r="C52" i="69"/>
  <c r="B2" i="69"/>
  <c r="B3" i="69"/>
  <c r="C20" i="9"/>
  <c r="D20" i="9"/>
  <c r="G20" i="9"/>
  <c r="C32" i="9"/>
  <c r="I118" i="9"/>
  <c r="H118" i="9"/>
  <c r="H101" i="9"/>
  <c r="H107" i="9"/>
  <c r="H102" i="9"/>
  <c r="H108" i="9"/>
  <c r="C6" i="74"/>
  <c r="E14" i="74"/>
  <c r="D14" i="74"/>
  <c r="C14" i="74"/>
  <c r="B14" i="74"/>
  <c r="F41" i="21"/>
  <c r="AA41" i="21"/>
  <c r="R48" i="21"/>
  <c r="H41" i="21"/>
  <c r="AB41" i="21"/>
  <c r="T48" i="21"/>
  <c r="J41" i="21"/>
  <c r="AC41" i="21"/>
  <c r="V48" i="21"/>
  <c r="R49" i="21"/>
  <c r="C49" i="21"/>
  <c r="B3" i="21"/>
  <c r="F38" i="39"/>
  <c r="AA38" i="39"/>
  <c r="R47" i="39"/>
  <c r="H38" i="39"/>
  <c r="AB38" i="39"/>
  <c r="T47" i="39"/>
  <c r="J38" i="39"/>
  <c r="AC38" i="39"/>
  <c r="V47" i="39"/>
  <c r="R48" i="39"/>
  <c r="C48" i="39"/>
  <c r="C6" i="69"/>
  <c r="C7" i="69"/>
  <c r="C5" i="69"/>
  <c r="F20" i="69"/>
  <c r="C20" i="69"/>
  <c r="F21" i="69"/>
  <c r="C21" i="69"/>
  <c r="C30" i="69"/>
  <c r="E30" i="69"/>
  <c r="F35" i="69"/>
  <c r="C40" i="69"/>
  <c r="C48" i="69"/>
  <c r="J22" i="9"/>
  <c r="I38" i="39"/>
  <c r="I11" i="21"/>
  <c r="G11" i="21"/>
  <c r="E11" i="21"/>
  <c r="C11" i="39"/>
  <c r="C11" i="21"/>
  <c r="I7" i="39"/>
  <c r="I7" i="21"/>
  <c r="G7" i="39"/>
  <c r="G7" i="21"/>
  <c r="E7" i="39"/>
  <c r="E7" i="21"/>
  <c r="C5" i="21"/>
  <c r="M6" i="39"/>
  <c r="L2" i="39"/>
  <c r="F7" i="39"/>
  <c r="AA7" i="39"/>
  <c r="E46" i="39"/>
  <c r="R46" i="39"/>
  <c r="F8" i="39"/>
  <c r="AA8" i="39"/>
  <c r="F9" i="39"/>
  <c r="AA9" i="39"/>
  <c r="M2" i="39"/>
  <c r="H7" i="39"/>
  <c r="AB7" i="39"/>
  <c r="G46" i="39"/>
  <c r="T46" i="39"/>
  <c r="H8" i="39"/>
  <c r="AB8" i="39"/>
  <c r="H9" i="39"/>
  <c r="AB9" i="39"/>
  <c r="M25" i="39"/>
  <c r="M24" i="39"/>
  <c r="N2" i="39"/>
  <c r="J7" i="39"/>
  <c r="AC7" i="39"/>
  <c r="I46" i="39"/>
  <c r="V46" i="39"/>
  <c r="J8" i="39"/>
  <c r="AC8" i="39"/>
  <c r="J9" i="39"/>
  <c r="AC9" i="39"/>
  <c r="L3" i="39"/>
  <c r="N3" i="39"/>
  <c r="M3" i="39"/>
  <c r="M28" i="39"/>
  <c r="M26" i="39"/>
  <c r="M27" i="39"/>
  <c r="M12" i="39"/>
  <c r="M13" i="39"/>
  <c r="M14" i="39"/>
  <c r="M17" i="39"/>
  <c r="M18" i="39"/>
  <c r="M19" i="39"/>
  <c r="M20" i="39"/>
  <c r="B126" i="39"/>
  <c r="F43" i="39"/>
  <c r="G38" i="39"/>
  <c r="E38" i="39"/>
  <c r="E8" i="80"/>
  <c r="C38" i="39"/>
  <c r="I5" i="39"/>
  <c r="G5" i="39"/>
  <c r="E5" i="39"/>
  <c r="H13" i="81"/>
  <c r="H12" i="81"/>
  <c r="H11" i="81"/>
  <c r="H10" i="81"/>
  <c r="H9" i="81"/>
  <c r="H8" i="81"/>
  <c r="H7" i="81"/>
  <c r="H6" i="81"/>
  <c r="H5" i="81"/>
  <c r="H4" i="81"/>
  <c r="H3" i="81"/>
  <c r="H2" i="81"/>
  <c r="A6" i="1"/>
  <c r="G1" i="69"/>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F36" i="69"/>
  <c r="E37" i="69"/>
  <c r="F38" i="69"/>
  <c r="D3" i="4"/>
  <c r="C1" i="73"/>
  <c r="J1" i="73"/>
  <c r="G13" i="73"/>
  <c r="B22" i="1"/>
  <c r="E1" i="73"/>
  <c r="F13" i="73"/>
  <c r="C19" i="69"/>
  <c r="D5" i="9"/>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G8" i="80"/>
  <c r="L5" i="80"/>
  <c r="L3" i="80"/>
  <c r="L4" i="80"/>
  <c r="L6" i="80"/>
  <c r="L7" i="80"/>
  <c r="L8" i="80"/>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40" i="69"/>
  <c r="F39" i="69"/>
  <c r="E10" i="69"/>
  <c r="E9" i="69"/>
  <c r="AC21" i="37"/>
  <c r="W21" i="37"/>
  <c r="AC21" i="34"/>
  <c r="W21" i="34"/>
  <c r="AC21" i="33"/>
  <c r="W21" i="33"/>
  <c r="AB21" i="21"/>
  <c r="U21" i="21"/>
  <c r="G83" i="21"/>
  <c r="J21" i="21"/>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F3" i="35"/>
  <c r="K13" i="1"/>
  <c r="M13" i="1"/>
  <c r="O13" i="1"/>
  <c r="P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BP111" i="3"/>
  <c r="BO111" i="3"/>
  <c r="BN111" i="3"/>
  <c r="BM111" i="3"/>
  <c r="BL111" i="3"/>
  <c r="AX111" i="3"/>
  <c r="AW111" i="3"/>
  <c r="AV111" i="3"/>
  <c r="BP110" i="3"/>
  <c r="BO110" i="3"/>
  <c r="BN110" i="3"/>
  <c r="BM110" i="3"/>
  <c r="BL110" i="3"/>
  <c r="AX110" i="3"/>
  <c r="AW110" i="3"/>
  <c r="AV110" i="3"/>
  <c r="BP109" i="3"/>
  <c r="BO109" i="3"/>
  <c r="BN109" i="3"/>
  <c r="BM109" i="3"/>
  <c r="BL109" i="3"/>
  <c r="AX109" i="3"/>
  <c r="AW109" i="3"/>
  <c r="AV109" i="3"/>
  <c r="BP108" i="3"/>
  <c r="BO108" i="3"/>
  <c r="BN108" i="3"/>
  <c r="BM108" i="3"/>
  <c r="BL108" i="3"/>
  <c r="AZ108" i="3"/>
  <c r="AX108" i="3"/>
  <c r="AW108" i="3"/>
  <c r="AV108" i="3"/>
  <c r="BP107" i="3"/>
  <c r="BO107" i="3"/>
  <c r="BN107" i="3"/>
  <c r="BM107" i="3"/>
  <c r="BL107" i="3"/>
  <c r="AX107" i="3"/>
  <c r="AW107" i="3"/>
  <c r="AV107" i="3"/>
  <c r="BP106" i="3"/>
  <c r="BO106" i="3"/>
  <c r="BN106" i="3"/>
  <c r="BM106" i="3"/>
  <c r="BL106" i="3"/>
  <c r="AZ106" i="3"/>
  <c r="AX106" i="3"/>
  <c r="AW106" i="3"/>
  <c r="AV106" i="3"/>
  <c r="BP105" i="3"/>
  <c r="BO105" i="3"/>
  <c r="BN105" i="3"/>
  <c r="BM105" i="3"/>
  <c r="BL105" i="3"/>
  <c r="AX105" i="3"/>
  <c r="AW105" i="3"/>
  <c r="AV105" i="3"/>
  <c r="BP104" i="3"/>
  <c r="BO104" i="3"/>
  <c r="BN104" i="3"/>
  <c r="BM104" i="3"/>
  <c r="BL104" i="3"/>
  <c r="AZ104" i="3"/>
  <c r="AX104" i="3"/>
  <c r="AW104" i="3"/>
  <c r="AV104" i="3"/>
  <c r="BP103" i="3"/>
  <c r="BO103" i="3"/>
  <c r="BN103" i="3"/>
  <c r="BM103" i="3"/>
  <c r="BL103" i="3"/>
  <c r="AZ103" i="3"/>
  <c r="AX103" i="3"/>
  <c r="AW103" i="3"/>
  <c r="AV103" i="3"/>
  <c r="BP102" i="3"/>
  <c r="BO102" i="3"/>
  <c r="BN102" i="3"/>
  <c r="BM102" i="3"/>
  <c r="BL102" i="3"/>
  <c r="AX102" i="3"/>
  <c r="AW102" i="3"/>
  <c r="AV102" i="3"/>
  <c r="BP101" i="3"/>
  <c r="BO101" i="3"/>
  <c r="BN101" i="3"/>
  <c r="BM101" i="3"/>
  <c r="BL101" i="3"/>
  <c r="AX101" i="3"/>
  <c r="AW101" i="3"/>
  <c r="AV101" i="3"/>
  <c r="BP100" i="3"/>
  <c r="BO100" i="3"/>
  <c r="BN100" i="3"/>
  <c r="BM100" i="3"/>
  <c r="BL100" i="3"/>
  <c r="AZ100" i="3"/>
  <c r="AX100" i="3"/>
  <c r="AW100" i="3"/>
  <c r="AV100" i="3"/>
  <c r="BP99" i="3"/>
  <c r="BO99" i="3"/>
  <c r="BN99" i="3"/>
  <c r="BM99" i="3"/>
  <c r="BL99" i="3"/>
  <c r="AZ99" i="3"/>
  <c r="AX99" i="3"/>
  <c r="AW99" i="3"/>
  <c r="AV99" i="3"/>
  <c r="BP98" i="3"/>
  <c r="BO98" i="3"/>
  <c r="BN98" i="3"/>
  <c r="BM98" i="3"/>
  <c r="BL98" i="3"/>
  <c r="AZ98" i="3"/>
  <c r="AX98" i="3"/>
  <c r="AW98" i="3"/>
  <c r="AV98" i="3"/>
  <c r="BP97" i="3"/>
  <c r="BO97" i="3"/>
  <c r="BN97" i="3"/>
  <c r="BM97" i="3"/>
  <c r="BL97" i="3"/>
  <c r="AX97" i="3"/>
  <c r="AW97" i="3"/>
  <c r="AV97" i="3"/>
  <c r="BP96" i="3"/>
  <c r="BO96" i="3"/>
  <c r="BN96" i="3"/>
  <c r="BM96" i="3"/>
  <c r="BL96" i="3"/>
  <c r="AZ96" i="3"/>
  <c r="AX96" i="3"/>
  <c r="AW96" i="3"/>
  <c r="AV96" i="3"/>
  <c r="BP95" i="3"/>
  <c r="BO95" i="3"/>
  <c r="BN95" i="3"/>
  <c r="BM95" i="3"/>
  <c r="BL95" i="3"/>
  <c r="AZ95" i="3"/>
  <c r="AX95" i="3"/>
  <c r="AW95" i="3"/>
  <c r="AV95" i="3"/>
  <c r="BP94" i="3"/>
  <c r="BO94" i="3"/>
  <c r="BN94" i="3"/>
  <c r="BM94" i="3"/>
  <c r="BL94" i="3"/>
  <c r="AX94" i="3"/>
  <c r="AW94" i="3"/>
  <c r="AV94" i="3"/>
  <c r="BP93" i="3"/>
  <c r="BO93" i="3"/>
  <c r="BN93" i="3"/>
  <c r="BM93" i="3"/>
  <c r="BL93" i="3"/>
  <c r="AX93" i="3"/>
  <c r="AW93" i="3"/>
  <c r="AV93" i="3"/>
  <c r="BP92" i="3"/>
  <c r="BO92" i="3"/>
  <c r="BN92" i="3"/>
  <c r="BM92" i="3"/>
  <c r="BL92" i="3"/>
  <c r="AZ92" i="3"/>
  <c r="AX92" i="3"/>
  <c r="AW92" i="3"/>
  <c r="AV92" i="3"/>
  <c r="BP91" i="3"/>
  <c r="BO91" i="3"/>
  <c r="BN91" i="3"/>
  <c r="BM91" i="3"/>
  <c r="BL91" i="3"/>
  <c r="AZ91" i="3"/>
  <c r="AX91" i="3"/>
  <c r="AW91" i="3"/>
  <c r="AV91" i="3"/>
  <c r="BP90" i="3"/>
  <c r="BO90" i="3"/>
  <c r="BN90" i="3"/>
  <c r="BM90" i="3"/>
  <c r="BL90" i="3"/>
  <c r="AZ90" i="3"/>
  <c r="AX90" i="3"/>
  <c r="AW90" i="3"/>
  <c r="AV90" i="3"/>
  <c r="BP89" i="3"/>
  <c r="BO89" i="3"/>
  <c r="BN89" i="3"/>
  <c r="BM89" i="3"/>
  <c r="BL89" i="3"/>
  <c r="AX89" i="3"/>
  <c r="AW89" i="3"/>
  <c r="AV89" i="3"/>
  <c r="BP88" i="3"/>
  <c r="BO88" i="3"/>
  <c r="BN88" i="3"/>
  <c r="BM88" i="3"/>
  <c r="BL88" i="3"/>
  <c r="AX88" i="3"/>
  <c r="AW88" i="3"/>
  <c r="AV88" i="3"/>
  <c r="BP87" i="3"/>
  <c r="BO87" i="3"/>
  <c r="BN87" i="3"/>
  <c r="BM87" i="3"/>
  <c r="BL87" i="3"/>
  <c r="AZ87" i="3"/>
  <c r="AX87" i="3"/>
  <c r="AW87" i="3"/>
  <c r="AV87" i="3"/>
  <c r="BP86" i="3"/>
  <c r="BO86" i="3"/>
  <c r="BN86" i="3"/>
  <c r="BM86" i="3"/>
  <c r="BL86" i="3"/>
  <c r="AX86" i="3"/>
  <c r="AW86" i="3"/>
  <c r="AV86" i="3"/>
  <c r="BP85" i="3"/>
  <c r="BO85" i="3"/>
  <c r="BN85" i="3"/>
  <c r="BM85" i="3"/>
  <c r="BL85" i="3"/>
  <c r="AX85" i="3"/>
  <c r="AW85" i="3"/>
  <c r="AV85" i="3"/>
  <c r="BP84" i="3"/>
  <c r="BO84" i="3"/>
  <c r="BN84" i="3"/>
  <c r="BM84" i="3"/>
  <c r="BL84" i="3"/>
  <c r="AX84" i="3"/>
  <c r="AW84" i="3"/>
  <c r="AV84" i="3"/>
  <c r="BP83" i="3"/>
  <c r="BO83" i="3"/>
  <c r="BN83" i="3"/>
  <c r="BM83" i="3"/>
  <c r="BL83" i="3"/>
  <c r="AX83" i="3"/>
  <c r="AW83" i="3"/>
  <c r="AV83" i="3"/>
  <c r="BP82" i="3"/>
  <c r="BO82" i="3"/>
  <c r="BN82" i="3"/>
  <c r="BM82" i="3"/>
  <c r="BL82" i="3"/>
  <c r="AX82" i="3"/>
  <c r="AW82" i="3"/>
  <c r="AV82" i="3"/>
  <c r="BP81" i="3"/>
  <c r="BO81" i="3"/>
  <c r="BN81" i="3"/>
  <c r="BM81" i="3"/>
  <c r="BL81" i="3"/>
  <c r="AZ81" i="3"/>
  <c r="AX81" i="3"/>
  <c r="AW81" i="3"/>
  <c r="AV81" i="3"/>
  <c r="BP80" i="3"/>
  <c r="BO80" i="3"/>
  <c r="BN80" i="3"/>
  <c r="BM80" i="3"/>
  <c r="BL80" i="3"/>
  <c r="AX80" i="3"/>
  <c r="AW80" i="3"/>
  <c r="AV80" i="3"/>
  <c r="BP79" i="3"/>
  <c r="BO79" i="3"/>
  <c r="BN79" i="3"/>
  <c r="BM79" i="3"/>
  <c r="BL79" i="3"/>
  <c r="AX79" i="3"/>
  <c r="AW79" i="3"/>
  <c r="AV79" i="3"/>
  <c r="BP78" i="3"/>
  <c r="BO78" i="3"/>
  <c r="BN78" i="3"/>
  <c r="BM78" i="3"/>
  <c r="BL78" i="3"/>
  <c r="AZ78" i="3"/>
  <c r="AX78" i="3"/>
  <c r="AW78" i="3"/>
  <c r="AV78" i="3"/>
  <c r="BP77" i="3"/>
  <c r="BO77" i="3"/>
  <c r="BN77" i="3"/>
  <c r="BM77" i="3"/>
  <c r="BL77" i="3"/>
  <c r="AX77" i="3"/>
  <c r="AW77" i="3"/>
  <c r="AV77" i="3"/>
  <c r="BP76" i="3"/>
  <c r="BO76" i="3"/>
  <c r="BN76" i="3"/>
  <c r="BM76" i="3"/>
  <c r="BL76" i="3"/>
  <c r="AZ76" i="3"/>
  <c r="AX76" i="3"/>
  <c r="AW76" i="3"/>
  <c r="AV76" i="3"/>
  <c r="BP75" i="3"/>
  <c r="BO75" i="3"/>
  <c r="BN75" i="3"/>
  <c r="BM75" i="3"/>
  <c r="BL75" i="3"/>
  <c r="AX75" i="3"/>
  <c r="AW75" i="3"/>
  <c r="AV75" i="3"/>
  <c r="BP74" i="3"/>
  <c r="BO74" i="3"/>
  <c r="BN74" i="3"/>
  <c r="BM74" i="3"/>
  <c r="BL74" i="3"/>
  <c r="AX74" i="3"/>
  <c r="AW74" i="3"/>
  <c r="AV74" i="3"/>
  <c r="BP73" i="3"/>
  <c r="BO73" i="3"/>
  <c r="BN73" i="3"/>
  <c r="BM73" i="3"/>
  <c r="BL73" i="3"/>
  <c r="AZ73" i="3"/>
  <c r="AX73" i="3"/>
  <c r="AW73" i="3"/>
  <c r="AV73" i="3"/>
  <c r="BP72" i="3"/>
  <c r="BO72" i="3"/>
  <c r="BN72" i="3"/>
  <c r="BM72" i="3"/>
  <c r="BL72" i="3"/>
  <c r="AX72" i="3"/>
  <c r="AW72" i="3"/>
  <c r="AV72" i="3"/>
  <c r="BP71" i="3"/>
  <c r="BO71" i="3"/>
  <c r="BN71" i="3"/>
  <c r="BM71" i="3"/>
  <c r="BL71" i="3"/>
  <c r="AX71" i="3"/>
  <c r="AW71" i="3"/>
  <c r="AV71" i="3"/>
  <c r="BP70" i="3"/>
  <c r="BO70" i="3"/>
  <c r="BN70" i="3"/>
  <c r="BM70" i="3"/>
  <c r="BL70" i="3"/>
  <c r="AZ70" i="3"/>
  <c r="AX70" i="3"/>
  <c r="AW70" i="3"/>
  <c r="AV70" i="3"/>
  <c r="BP69" i="3"/>
  <c r="BO69" i="3"/>
  <c r="BN69" i="3"/>
  <c r="BM69" i="3"/>
  <c r="BL69" i="3"/>
  <c r="AX69" i="3"/>
  <c r="AW69" i="3"/>
  <c r="AV69" i="3"/>
  <c r="BP68" i="3"/>
  <c r="BO68" i="3"/>
  <c r="BN68" i="3"/>
  <c r="BM68" i="3"/>
  <c r="BL68" i="3"/>
  <c r="AZ68" i="3"/>
  <c r="AX68" i="3"/>
  <c r="AW68" i="3"/>
  <c r="AV68" i="3"/>
  <c r="BP67" i="3"/>
  <c r="BO67" i="3"/>
  <c r="BN67" i="3"/>
  <c r="BM67" i="3"/>
  <c r="BL67" i="3"/>
  <c r="AX67" i="3"/>
  <c r="AW67" i="3"/>
  <c r="AV67" i="3"/>
  <c r="BP66" i="3"/>
  <c r="BO66" i="3"/>
  <c r="BN66" i="3"/>
  <c r="BM66" i="3"/>
  <c r="BL66" i="3"/>
  <c r="AX66" i="3"/>
  <c r="AW66" i="3"/>
  <c r="AV66" i="3"/>
  <c r="BP65" i="3"/>
  <c r="BO65" i="3"/>
  <c r="BN65" i="3"/>
  <c r="BM65" i="3"/>
  <c r="BL65" i="3"/>
  <c r="AZ65" i="3"/>
  <c r="AX65" i="3"/>
  <c r="AW65" i="3"/>
  <c r="AV65" i="3"/>
  <c r="BP64" i="3"/>
  <c r="BO64" i="3"/>
  <c r="BN64" i="3"/>
  <c r="BM64" i="3"/>
  <c r="BL64" i="3"/>
  <c r="AZ64" i="3"/>
  <c r="AX64" i="3"/>
  <c r="AW64" i="3"/>
  <c r="AV64" i="3"/>
  <c r="BP63" i="3"/>
  <c r="BO63" i="3"/>
  <c r="BN63" i="3"/>
  <c r="BM63" i="3"/>
  <c r="BL63" i="3"/>
  <c r="AX63" i="3"/>
  <c r="AW63" i="3"/>
  <c r="AV63" i="3"/>
  <c r="BP62" i="3"/>
  <c r="BO62" i="3"/>
  <c r="BN62" i="3"/>
  <c r="BM62" i="3"/>
  <c r="BL62" i="3"/>
  <c r="AZ62" i="3"/>
  <c r="AX62" i="3"/>
  <c r="AW62" i="3"/>
  <c r="AV62" i="3"/>
  <c r="BP61" i="3"/>
  <c r="BO61" i="3"/>
  <c r="BN61" i="3"/>
  <c r="BM61" i="3"/>
  <c r="BL61" i="3"/>
  <c r="AX61" i="3"/>
  <c r="AW61" i="3"/>
  <c r="AV61" i="3"/>
  <c r="BP60" i="3"/>
  <c r="BO60" i="3"/>
  <c r="BN60" i="3"/>
  <c r="BM60" i="3"/>
  <c r="BL60" i="3"/>
  <c r="AZ60" i="3"/>
  <c r="AX60" i="3"/>
  <c r="AW60" i="3"/>
  <c r="AV60" i="3"/>
  <c r="BP59" i="3"/>
  <c r="BO59" i="3"/>
  <c r="BN59" i="3"/>
  <c r="BM59" i="3"/>
  <c r="BL59" i="3"/>
  <c r="AX59" i="3"/>
  <c r="AW59" i="3"/>
  <c r="AV59" i="3"/>
  <c r="BP58" i="3"/>
  <c r="BO58" i="3"/>
  <c r="BN58" i="3"/>
  <c r="BM58" i="3"/>
  <c r="BL58" i="3"/>
  <c r="AX58" i="3"/>
  <c r="AW58" i="3"/>
  <c r="AV58" i="3"/>
  <c r="BP57" i="3"/>
  <c r="BO57" i="3"/>
  <c r="BN57" i="3"/>
  <c r="BM57" i="3"/>
  <c r="BL57" i="3"/>
  <c r="AZ57" i="3"/>
  <c r="AX57" i="3"/>
  <c r="AW57" i="3"/>
  <c r="AV57" i="3"/>
  <c r="BP56" i="3"/>
  <c r="BO56" i="3"/>
  <c r="BN56" i="3"/>
  <c r="BM56" i="3"/>
  <c r="BL56" i="3"/>
  <c r="AZ56" i="3"/>
  <c r="AX56" i="3"/>
  <c r="AW56" i="3"/>
  <c r="AV56" i="3"/>
  <c r="BP55" i="3"/>
  <c r="BO55" i="3"/>
  <c r="BN55" i="3"/>
  <c r="BM55" i="3"/>
  <c r="BL55" i="3"/>
  <c r="AX55" i="3"/>
  <c r="AW55" i="3"/>
  <c r="AV55" i="3"/>
  <c r="BP54" i="3"/>
  <c r="BO54" i="3"/>
  <c r="BN54" i="3"/>
  <c r="BM54" i="3"/>
  <c r="BL54" i="3"/>
  <c r="AZ54" i="3"/>
  <c r="AX54" i="3"/>
  <c r="AW54" i="3"/>
  <c r="AV54" i="3"/>
  <c r="BP53" i="3"/>
  <c r="BO53" i="3"/>
  <c r="BN53" i="3"/>
  <c r="BM53" i="3"/>
  <c r="BL53" i="3"/>
  <c r="AX53" i="3"/>
  <c r="AW53" i="3"/>
  <c r="AV53" i="3"/>
  <c r="BP52" i="3"/>
  <c r="BO52" i="3"/>
  <c r="BN52" i="3"/>
  <c r="BM52" i="3"/>
  <c r="BL52" i="3"/>
  <c r="AZ52" i="3"/>
  <c r="AX52" i="3"/>
  <c r="AW52" i="3"/>
  <c r="AV52" i="3"/>
  <c r="BP51" i="3"/>
  <c r="BO51" i="3"/>
  <c r="BN51" i="3"/>
  <c r="BM51" i="3"/>
  <c r="BL51" i="3"/>
  <c r="AX51" i="3"/>
  <c r="AW51" i="3"/>
  <c r="AV51" i="3"/>
  <c r="BP50" i="3"/>
  <c r="BO50" i="3"/>
  <c r="BN50" i="3"/>
  <c r="BM50" i="3"/>
  <c r="BL50" i="3"/>
  <c r="AX50" i="3"/>
  <c r="AW50" i="3"/>
  <c r="AV50" i="3"/>
  <c r="BP49" i="3"/>
  <c r="BO49" i="3"/>
  <c r="BN49" i="3"/>
  <c r="BM49" i="3"/>
  <c r="BL49" i="3"/>
  <c r="AZ49" i="3"/>
  <c r="AX49" i="3"/>
  <c r="AW49" i="3"/>
  <c r="AV49" i="3"/>
  <c r="BP48" i="3"/>
  <c r="BO48" i="3"/>
  <c r="BN48" i="3"/>
  <c r="BM48" i="3"/>
  <c r="BL48" i="3"/>
  <c r="AZ48" i="3"/>
  <c r="AX48" i="3"/>
  <c r="AW48" i="3"/>
  <c r="AV48" i="3"/>
  <c r="BP47" i="3"/>
  <c r="BO47" i="3"/>
  <c r="BN47" i="3"/>
  <c r="BM47" i="3"/>
  <c r="BL47" i="3"/>
  <c r="AX47" i="3"/>
  <c r="AW47" i="3"/>
  <c r="AV47" i="3"/>
  <c r="BP46" i="3"/>
  <c r="BO46" i="3"/>
  <c r="BN46" i="3"/>
  <c r="BM46" i="3"/>
  <c r="BL46" i="3"/>
  <c r="AZ46" i="3"/>
  <c r="AX46" i="3"/>
  <c r="AW46" i="3"/>
  <c r="AV46" i="3"/>
  <c r="BP45" i="3"/>
  <c r="BO45" i="3"/>
  <c r="BN45" i="3"/>
  <c r="BM45" i="3"/>
  <c r="BL45" i="3"/>
  <c r="AX45" i="3"/>
  <c r="AW45" i="3"/>
  <c r="AV45" i="3"/>
  <c r="BP44" i="3"/>
  <c r="BO44" i="3"/>
  <c r="BN44" i="3"/>
  <c r="BM44" i="3"/>
  <c r="BL44" i="3"/>
  <c r="AZ44" i="3"/>
  <c r="AX44" i="3"/>
  <c r="AW44" i="3"/>
  <c r="AV44" i="3"/>
  <c r="BP43" i="3"/>
  <c r="BO43" i="3"/>
  <c r="BN43" i="3"/>
  <c r="BM43" i="3"/>
  <c r="BL43" i="3"/>
  <c r="AX43" i="3"/>
  <c r="AW43" i="3"/>
  <c r="AV43" i="3"/>
  <c r="BP42" i="3"/>
  <c r="BO42" i="3"/>
  <c r="BN42" i="3"/>
  <c r="BM42" i="3"/>
  <c r="BL42" i="3"/>
  <c r="AX42" i="3"/>
  <c r="AW42" i="3"/>
  <c r="AV42" i="3"/>
  <c r="BP41" i="3"/>
  <c r="BO41" i="3"/>
  <c r="BN41" i="3"/>
  <c r="BM41" i="3"/>
  <c r="BL41" i="3"/>
  <c r="AX41" i="3"/>
  <c r="AW41" i="3"/>
  <c r="AV41" i="3"/>
  <c r="BP40" i="3"/>
  <c r="BO40" i="3"/>
  <c r="BN40" i="3"/>
  <c r="BM40" i="3"/>
  <c r="BL40" i="3"/>
  <c r="AZ40" i="3"/>
  <c r="AX40" i="3"/>
  <c r="AW40" i="3"/>
  <c r="AV40" i="3"/>
  <c r="BP39" i="3"/>
  <c r="BO39" i="3"/>
  <c r="BN39" i="3"/>
  <c r="BM39" i="3"/>
  <c r="BL39" i="3"/>
  <c r="AX39" i="3"/>
  <c r="AW39" i="3"/>
  <c r="AV39" i="3"/>
  <c r="BP38" i="3"/>
  <c r="BO38" i="3"/>
  <c r="BN38" i="3"/>
  <c r="BM38" i="3"/>
  <c r="BL38" i="3"/>
  <c r="AZ38" i="3"/>
  <c r="AX38" i="3"/>
  <c r="AW38" i="3"/>
  <c r="AV38" i="3"/>
  <c r="BP37" i="3"/>
  <c r="BO37" i="3"/>
  <c r="BN37" i="3"/>
  <c r="BM37" i="3"/>
  <c r="BL37" i="3"/>
  <c r="AX37" i="3"/>
  <c r="AW37" i="3"/>
  <c r="AV37" i="3"/>
  <c r="BP36" i="3"/>
  <c r="BO36" i="3"/>
  <c r="BN36" i="3"/>
  <c r="BM36" i="3"/>
  <c r="BL36" i="3"/>
  <c r="AZ36" i="3"/>
  <c r="AX36" i="3"/>
  <c r="AW36" i="3"/>
  <c r="AV36" i="3"/>
  <c r="BP35" i="3"/>
  <c r="BO35" i="3"/>
  <c r="BN35" i="3"/>
  <c r="BM35" i="3"/>
  <c r="BL35" i="3"/>
  <c r="AX35" i="3"/>
  <c r="AW35" i="3"/>
  <c r="AV35" i="3"/>
  <c r="BP34" i="3"/>
  <c r="BO34" i="3"/>
  <c r="BN34" i="3"/>
  <c r="BM34" i="3"/>
  <c r="BL34" i="3"/>
  <c r="AZ34" i="3"/>
  <c r="AX34" i="3"/>
  <c r="AW34" i="3"/>
  <c r="AV34" i="3"/>
  <c r="BP33" i="3"/>
  <c r="BO33" i="3"/>
  <c r="BN33" i="3"/>
  <c r="BM33" i="3"/>
  <c r="BL33" i="3"/>
  <c r="AX33" i="3"/>
  <c r="AW33" i="3"/>
  <c r="AV33" i="3"/>
  <c r="BP32" i="3"/>
  <c r="BO32" i="3"/>
  <c r="BN32" i="3"/>
  <c r="BM32" i="3"/>
  <c r="BL32" i="3"/>
  <c r="AX32" i="3"/>
  <c r="AW32" i="3"/>
  <c r="AV32" i="3"/>
  <c r="BP31" i="3"/>
  <c r="BO31" i="3"/>
  <c r="BN31" i="3"/>
  <c r="BM31" i="3"/>
  <c r="BL31" i="3"/>
  <c r="AX31" i="3"/>
  <c r="AW31" i="3"/>
  <c r="AV31" i="3"/>
  <c r="BP30" i="3"/>
  <c r="BO30" i="3"/>
  <c r="BN30" i="3"/>
  <c r="BM30" i="3"/>
  <c r="BL30" i="3"/>
  <c r="AZ30" i="3"/>
  <c r="AX30" i="3"/>
  <c r="AW30" i="3"/>
  <c r="AV30" i="3"/>
  <c r="BP29" i="3"/>
  <c r="BO29" i="3"/>
  <c r="BN29" i="3"/>
  <c r="BM29" i="3"/>
  <c r="BL29" i="3"/>
  <c r="AX29" i="3"/>
  <c r="AW29" i="3"/>
  <c r="AV29" i="3"/>
  <c r="BP28" i="3"/>
  <c r="BO28" i="3"/>
  <c r="BN28" i="3"/>
  <c r="BM28" i="3"/>
  <c r="BL28" i="3"/>
  <c r="AX28" i="3"/>
  <c r="AW28" i="3"/>
  <c r="AV28" i="3"/>
  <c r="BP27" i="3"/>
  <c r="BO27" i="3"/>
  <c r="BN27" i="3"/>
  <c r="BM27" i="3"/>
  <c r="BL27" i="3"/>
  <c r="AZ27" i="3"/>
  <c r="AX27" i="3"/>
  <c r="AW27" i="3"/>
  <c r="AV27" i="3"/>
  <c r="BP26" i="3"/>
  <c r="BO26" i="3"/>
  <c r="BN26" i="3"/>
  <c r="BM26" i="3"/>
  <c r="BL26" i="3"/>
  <c r="AX26" i="3"/>
  <c r="AW26" i="3"/>
  <c r="AV26" i="3"/>
  <c r="BP25" i="3"/>
  <c r="BO25" i="3"/>
  <c r="BN25" i="3"/>
  <c r="BM25" i="3"/>
  <c r="BL25" i="3"/>
  <c r="AZ25" i="3"/>
  <c r="AX25" i="3"/>
  <c r="AW25" i="3"/>
  <c r="AV25" i="3"/>
  <c r="BP24" i="3"/>
  <c r="BO24" i="3"/>
  <c r="BN24" i="3"/>
  <c r="BM24" i="3"/>
  <c r="BL24" i="3"/>
  <c r="AX24" i="3"/>
  <c r="AW24" i="3"/>
  <c r="AV24" i="3"/>
  <c r="BP23" i="3"/>
  <c r="BO23" i="3"/>
  <c r="BN23" i="3"/>
  <c r="BM23" i="3"/>
  <c r="BL23" i="3"/>
  <c r="AZ23" i="3"/>
  <c r="AX23" i="3"/>
  <c r="AW23" i="3"/>
  <c r="AV23" i="3"/>
  <c r="BP22" i="3"/>
  <c r="BO22" i="3"/>
  <c r="BN22" i="3"/>
  <c r="BM22" i="3"/>
  <c r="BL22" i="3"/>
  <c r="AZ22" i="3"/>
  <c r="AX22" i="3"/>
  <c r="AW22" i="3"/>
  <c r="AV22" i="3"/>
  <c r="BP21" i="3"/>
  <c r="BO21" i="3"/>
  <c r="BN21" i="3"/>
  <c r="BM21" i="3"/>
  <c r="BL21" i="3"/>
  <c r="AX21" i="3"/>
  <c r="AW21" i="3"/>
  <c r="AV21" i="3"/>
  <c r="BP20" i="3"/>
  <c r="BO20" i="3"/>
  <c r="BN20" i="3"/>
  <c r="BM20" i="3"/>
  <c r="BL20" i="3"/>
  <c r="AX20" i="3"/>
  <c r="AW20" i="3"/>
  <c r="AV20" i="3"/>
  <c r="BP19" i="3"/>
  <c r="BO19" i="3"/>
  <c r="BN19" i="3"/>
  <c r="BM19" i="3"/>
  <c r="BL19" i="3"/>
  <c r="AX19" i="3"/>
  <c r="AW19" i="3"/>
  <c r="AV19" i="3"/>
  <c r="BP18" i="3"/>
  <c r="BO18" i="3"/>
  <c r="BN18" i="3"/>
  <c r="BM18" i="3"/>
  <c r="BL18" i="3"/>
  <c r="AZ18" i="3"/>
  <c r="AX18" i="3"/>
  <c r="AW18" i="3"/>
  <c r="AV18" i="3"/>
  <c r="BP207" i="3"/>
  <c r="BO207" i="3"/>
  <c r="BN207" i="3"/>
  <c r="BM207" i="3"/>
  <c r="BL207" i="3"/>
  <c r="AZ207" i="3"/>
  <c r="AX207" i="3"/>
  <c r="AW207" i="3"/>
  <c r="AV207" i="3"/>
  <c r="BP206" i="3"/>
  <c r="BO206" i="3"/>
  <c r="BN206" i="3"/>
  <c r="BM206" i="3"/>
  <c r="BL206" i="3"/>
  <c r="AX206" i="3"/>
  <c r="AW206" i="3"/>
  <c r="AV206" i="3"/>
  <c r="BP205" i="3"/>
  <c r="BO205" i="3"/>
  <c r="BN205" i="3"/>
  <c r="BM205" i="3"/>
  <c r="BL205" i="3"/>
  <c r="AZ205" i="3"/>
  <c r="AX205" i="3"/>
  <c r="AW205" i="3"/>
  <c r="AV205" i="3"/>
  <c r="BP204" i="3"/>
  <c r="BO204" i="3"/>
  <c r="BN204" i="3"/>
  <c r="BM204" i="3"/>
  <c r="AX204" i="3"/>
  <c r="AW204" i="3"/>
  <c r="AV204" i="3"/>
  <c r="BP203" i="3"/>
  <c r="BO203" i="3"/>
  <c r="BN203" i="3"/>
  <c r="BM203" i="3"/>
  <c r="BL203" i="3"/>
  <c r="AX203" i="3"/>
  <c r="AW203" i="3"/>
  <c r="AV203" i="3"/>
  <c r="BP202" i="3"/>
  <c r="BO202" i="3"/>
  <c r="BN202" i="3"/>
  <c r="BM202" i="3"/>
  <c r="BL202" i="3"/>
  <c r="AX202" i="3"/>
  <c r="AW202" i="3"/>
  <c r="AV202" i="3"/>
  <c r="BP201" i="3"/>
  <c r="BO201" i="3"/>
  <c r="BN201" i="3"/>
  <c r="BM201" i="3"/>
  <c r="BL201" i="3"/>
  <c r="AZ201" i="3"/>
  <c r="AX201" i="3"/>
  <c r="AW201" i="3"/>
  <c r="AV201" i="3"/>
  <c r="BP200" i="3"/>
  <c r="BO200" i="3"/>
  <c r="BN200" i="3"/>
  <c r="BM200" i="3"/>
  <c r="AX200" i="3"/>
  <c r="AW200" i="3"/>
  <c r="AV200" i="3"/>
  <c r="BP199" i="3"/>
  <c r="BO199" i="3"/>
  <c r="BN199" i="3"/>
  <c r="BM199" i="3"/>
  <c r="BL199" i="3"/>
  <c r="AX199" i="3"/>
  <c r="AW199" i="3"/>
  <c r="AV199" i="3"/>
  <c r="BP198" i="3"/>
  <c r="BO198" i="3"/>
  <c r="BN198" i="3"/>
  <c r="BM198" i="3"/>
  <c r="BL198" i="3"/>
  <c r="AX198" i="3"/>
  <c r="AW198" i="3"/>
  <c r="AV198" i="3"/>
  <c r="BP197" i="3"/>
  <c r="BO197" i="3"/>
  <c r="BN197" i="3"/>
  <c r="BM197" i="3"/>
  <c r="BL197" i="3"/>
  <c r="AX197" i="3"/>
  <c r="AW197" i="3"/>
  <c r="AV197" i="3"/>
  <c r="BP196" i="3"/>
  <c r="BO196" i="3"/>
  <c r="BN196" i="3"/>
  <c r="BM196" i="3"/>
  <c r="AX196" i="3"/>
  <c r="AW196" i="3"/>
  <c r="AV196" i="3"/>
  <c r="BP195" i="3"/>
  <c r="BO195" i="3"/>
  <c r="BN195" i="3"/>
  <c r="BM195" i="3"/>
  <c r="BL195" i="3"/>
  <c r="AX195" i="3"/>
  <c r="AW195" i="3"/>
  <c r="AV195" i="3"/>
  <c r="BP194" i="3"/>
  <c r="BO194" i="3"/>
  <c r="BN194" i="3"/>
  <c r="BM194" i="3"/>
  <c r="BL194" i="3"/>
  <c r="AX194" i="3"/>
  <c r="AW194" i="3"/>
  <c r="AV194" i="3"/>
  <c r="BP193" i="3"/>
  <c r="BO193" i="3"/>
  <c r="BN193" i="3"/>
  <c r="BM193" i="3"/>
  <c r="BL193" i="3"/>
  <c r="AZ193" i="3"/>
  <c r="AX193" i="3"/>
  <c r="AW193" i="3"/>
  <c r="AV193" i="3"/>
  <c r="BP192" i="3"/>
  <c r="BO192" i="3"/>
  <c r="BN192" i="3"/>
  <c r="BM192" i="3"/>
  <c r="AX192" i="3"/>
  <c r="AW192" i="3"/>
  <c r="AV192" i="3"/>
  <c r="BP191" i="3"/>
  <c r="BO191" i="3"/>
  <c r="BN191" i="3"/>
  <c r="BM191" i="3"/>
  <c r="BL191" i="3"/>
  <c r="AX191" i="3"/>
  <c r="AW191" i="3"/>
  <c r="AV191" i="3"/>
  <c r="BP190" i="3"/>
  <c r="BO190" i="3"/>
  <c r="BN190" i="3"/>
  <c r="BM190" i="3"/>
  <c r="BL190" i="3"/>
  <c r="AX190" i="3"/>
  <c r="AW190" i="3"/>
  <c r="AV190" i="3"/>
  <c r="BP189" i="3"/>
  <c r="BO189" i="3"/>
  <c r="BN189" i="3"/>
  <c r="BM189" i="3"/>
  <c r="BL189" i="3"/>
  <c r="AX189" i="3"/>
  <c r="AW189" i="3"/>
  <c r="AV189" i="3"/>
  <c r="BP188" i="3"/>
  <c r="BO188" i="3"/>
  <c r="BN188" i="3"/>
  <c r="BM188" i="3"/>
  <c r="AX188" i="3"/>
  <c r="AW188" i="3"/>
  <c r="AV188" i="3"/>
  <c r="BP187" i="3"/>
  <c r="BO187" i="3"/>
  <c r="BN187" i="3"/>
  <c r="BM187" i="3"/>
  <c r="BL187" i="3"/>
  <c r="AX187" i="3"/>
  <c r="AW187" i="3"/>
  <c r="AV187" i="3"/>
  <c r="BP186" i="3"/>
  <c r="BO186" i="3"/>
  <c r="BN186" i="3"/>
  <c r="BM186" i="3"/>
  <c r="BL186" i="3"/>
  <c r="AX186" i="3"/>
  <c r="AW186" i="3"/>
  <c r="AV186" i="3"/>
  <c r="BP185" i="3"/>
  <c r="BO185" i="3"/>
  <c r="BN185" i="3"/>
  <c r="BM185" i="3"/>
  <c r="BL185" i="3"/>
  <c r="AZ185" i="3"/>
  <c r="AX185" i="3"/>
  <c r="AW185" i="3"/>
  <c r="AV185" i="3"/>
  <c r="BP184" i="3"/>
  <c r="BO184" i="3"/>
  <c r="BN184" i="3"/>
  <c r="BM184" i="3"/>
  <c r="AX184" i="3"/>
  <c r="AW184" i="3"/>
  <c r="AV184" i="3"/>
  <c r="BP183" i="3"/>
  <c r="BO183" i="3"/>
  <c r="BN183" i="3"/>
  <c r="BM183" i="3"/>
  <c r="BL183" i="3"/>
  <c r="AX183" i="3"/>
  <c r="AW183" i="3"/>
  <c r="AV183" i="3"/>
  <c r="BP182" i="3"/>
  <c r="BO182" i="3"/>
  <c r="BN182" i="3"/>
  <c r="BM182" i="3"/>
  <c r="BL182" i="3"/>
  <c r="AX182" i="3"/>
  <c r="AW182" i="3"/>
  <c r="AV182" i="3"/>
  <c r="BP181" i="3"/>
  <c r="BO181" i="3"/>
  <c r="BN181" i="3"/>
  <c r="BM181" i="3"/>
  <c r="BL181" i="3"/>
  <c r="AX181" i="3"/>
  <c r="AW181" i="3"/>
  <c r="AV181" i="3"/>
  <c r="BP180" i="3"/>
  <c r="BO180" i="3"/>
  <c r="BN180" i="3"/>
  <c r="BM180" i="3"/>
  <c r="AX180" i="3"/>
  <c r="AW180" i="3"/>
  <c r="AV180" i="3"/>
  <c r="BP179" i="3"/>
  <c r="BO179" i="3"/>
  <c r="BN179" i="3"/>
  <c r="BM179" i="3"/>
  <c r="BL179" i="3"/>
  <c r="AX179" i="3"/>
  <c r="AW179" i="3"/>
  <c r="AV179" i="3"/>
  <c r="BP178" i="3"/>
  <c r="BO178" i="3"/>
  <c r="BN178" i="3"/>
  <c r="BM178" i="3"/>
  <c r="BL178" i="3"/>
  <c r="AX178" i="3"/>
  <c r="AW178" i="3"/>
  <c r="AV178" i="3"/>
  <c r="BP177" i="3"/>
  <c r="BO177" i="3"/>
  <c r="BN177" i="3"/>
  <c r="BM177" i="3"/>
  <c r="BL177" i="3"/>
  <c r="AZ177" i="3"/>
  <c r="AX177" i="3"/>
  <c r="AW177" i="3"/>
  <c r="AV177" i="3"/>
  <c r="BP176" i="3"/>
  <c r="BO176" i="3"/>
  <c r="BN176" i="3"/>
  <c r="BM176" i="3"/>
  <c r="AX176" i="3"/>
  <c r="AW176" i="3"/>
  <c r="AV176" i="3"/>
  <c r="BP175" i="3"/>
  <c r="BO175" i="3"/>
  <c r="BN175" i="3"/>
  <c r="BM175" i="3"/>
  <c r="BL175" i="3"/>
  <c r="AX175" i="3"/>
  <c r="AW175" i="3"/>
  <c r="AV175" i="3"/>
  <c r="BP174" i="3"/>
  <c r="BO174" i="3"/>
  <c r="BN174" i="3"/>
  <c r="BM174" i="3"/>
  <c r="BL174" i="3"/>
  <c r="AX174" i="3"/>
  <c r="AW174" i="3"/>
  <c r="AV174" i="3"/>
  <c r="BP173" i="3"/>
  <c r="BO173" i="3"/>
  <c r="BN173" i="3"/>
  <c r="BM173" i="3"/>
  <c r="BL173" i="3"/>
  <c r="AX173" i="3"/>
  <c r="AW173" i="3"/>
  <c r="AV173" i="3"/>
  <c r="BP172" i="3"/>
  <c r="BO172" i="3"/>
  <c r="BN172" i="3"/>
  <c r="BM172" i="3"/>
  <c r="AX172" i="3"/>
  <c r="AW172" i="3"/>
  <c r="AV172" i="3"/>
  <c r="BP171" i="3"/>
  <c r="BO171" i="3"/>
  <c r="BN171" i="3"/>
  <c r="BM171" i="3"/>
  <c r="BL171" i="3"/>
  <c r="AX171" i="3"/>
  <c r="AW171" i="3"/>
  <c r="AV171" i="3"/>
  <c r="BP170" i="3"/>
  <c r="BO170" i="3"/>
  <c r="BN170" i="3"/>
  <c r="BM170" i="3"/>
  <c r="BL170" i="3"/>
  <c r="AX170" i="3"/>
  <c r="AW170" i="3"/>
  <c r="AV170" i="3"/>
  <c r="BP169" i="3"/>
  <c r="BO169" i="3"/>
  <c r="BN169" i="3"/>
  <c r="BM169" i="3"/>
  <c r="BL169" i="3"/>
  <c r="AZ169" i="3"/>
  <c r="AX169" i="3"/>
  <c r="AW169" i="3"/>
  <c r="AV169" i="3"/>
  <c r="BP168" i="3"/>
  <c r="BO168" i="3"/>
  <c r="BN168" i="3"/>
  <c r="BM168" i="3"/>
  <c r="AX168" i="3"/>
  <c r="AW168" i="3"/>
  <c r="AV168" i="3"/>
  <c r="BP167" i="3"/>
  <c r="BO167" i="3"/>
  <c r="BN167" i="3"/>
  <c r="BM167" i="3"/>
  <c r="BL167" i="3"/>
  <c r="AX167" i="3"/>
  <c r="AW167" i="3"/>
  <c r="AV167" i="3"/>
  <c r="BP166" i="3"/>
  <c r="BO166" i="3"/>
  <c r="BN166" i="3"/>
  <c r="BM166" i="3"/>
  <c r="BL166" i="3"/>
  <c r="AX166" i="3"/>
  <c r="AW166" i="3"/>
  <c r="AV166" i="3"/>
  <c r="BP165" i="3"/>
  <c r="BO165" i="3"/>
  <c r="BN165" i="3"/>
  <c r="BM165" i="3"/>
  <c r="BL165" i="3"/>
  <c r="AX165" i="3"/>
  <c r="AW165" i="3"/>
  <c r="AV165" i="3"/>
  <c r="BP164" i="3"/>
  <c r="BO164" i="3"/>
  <c r="BN164" i="3"/>
  <c r="BM164" i="3"/>
  <c r="AX164" i="3"/>
  <c r="AW164" i="3"/>
  <c r="AV164" i="3"/>
  <c r="BP163" i="3"/>
  <c r="BO163" i="3"/>
  <c r="BN163" i="3"/>
  <c r="BM163" i="3"/>
  <c r="BL163" i="3"/>
  <c r="AX163" i="3"/>
  <c r="AW163" i="3"/>
  <c r="AV163" i="3"/>
  <c r="BP162" i="3"/>
  <c r="BO162" i="3"/>
  <c r="BN162" i="3"/>
  <c r="BM162" i="3"/>
  <c r="BL162" i="3"/>
  <c r="AX162" i="3"/>
  <c r="AW162" i="3"/>
  <c r="AV162" i="3"/>
  <c r="BP161" i="3"/>
  <c r="BO161" i="3"/>
  <c r="BN161" i="3"/>
  <c r="BM161" i="3"/>
  <c r="BL161" i="3"/>
  <c r="AZ161" i="3"/>
  <c r="AX161" i="3"/>
  <c r="AW161" i="3"/>
  <c r="AV161" i="3"/>
  <c r="BP160" i="3"/>
  <c r="BO160" i="3"/>
  <c r="BN160" i="3"/>
  <c r="BM160" i="3"/>
  <c r="AX160" i="3"/>
  <c r="AW160" i="3"/>
  <c r="AV160" i="3"/>
  <c r="BP159" i="3"/>
  <c r="BO159" i="3"/>
  <c r="BN159" i="3"/>
  <c r="BM159" i="3"/>
  <c r="BL159" i="3"/>
  <c r="AX159" i="3"/>
  <c r="AW159" i="3"/>
  <c r="AV159" i="3"/>
  <c r="BP158" i="3"/>
  <c r="BO158" i="3"/>
  <c r="BN158" i="3"/>
  <c r="BM158" i="3"/>
  <c r="BL158" i="3"/>
  <c r="AX158" i="3"/>
  <c r="AW158" i="3"/>
  <c r="AV158" i="3"/>
  <c r="BP157" i="3"/>
  <c r="BO157" i="3"/>
  <c r="BN157" i="3"/>
  <c r="BM157" i="3"/>
  <c r="BL157" i="3"/>
  <c r="AX157" i="3"/>
  <c r="AW157" i="3"/>
  <c r="AV157" i="3"/>
  <c r="BP156" i="3"/>
  <c r="BO156" i="3"/>
  <c r="BN156" i="3"/>
  <c r="BM156" i="3"/>
  <c r="AX156" i="3"/>
  <c r="AW156" i="3"/>
  <c r="AV156" i="3"/>
  <c r="BP155" i="3"/>
  <c r="BO155" i="3"/>
  <c r="BN155" i="3"/>
  <c r="BM155" i="3"/>
  <c r="BL155" i="3"/>
  <c r="AX155" i="3"/>
  <c r="AW155" i="3"/>
  <c r="AV155" i="3"/>
  <c r="BP154" i="3"/>
  <c r="BO154" i="3"/>
  <c r="BN154" i="3"/>
  <c r="BM154" i="3"/>
  <c r="BL154" i="3"/>
  <c r="AX154" i="3"/>
  <c r="AW154" i="3"/>
  <c r="AV154" i="3"/>
  <c r="BP153" i="3"/>
  <c r="BO153" i="3"/>
  <c r="BN153" i="3"/>
  <c r="BM153" i="3"/>
  <c r="BL153" i="3"/>
  <c r="AZ153" i="3"/>
  <c r="AX153" i="3"/>
  <c r="AW153" i="3"/>
  <c r="AV153" i="3"/>
  <c r="BP152" i="3"/>
  <c r="BO152" i="3"/>
  <c r="BN152" i="3"/>
  <c r="BM152" i="3"/>
  <c r="AX152" i="3"/>
  <c r="AW152" i="3"/>
  <c r="AV152" i="3"/>
  <c r="BP151" i="3"/>
  <c r="BO151" i="3"/>
  <c r="BN151" i="3"/>
  <c r="BM151" i="3"/>
  <c r="BL151" i="3"/>
  <c r="AX151" i="3"/>
  <c r="AW151" i="3"/>
  <c r="AV151" i="3"/>
  <c r="BP150" i="3"/>
  <c r="BO150" i="3"/>
  <c r="BN150" i="3"/>
  <c r="BM150" i="3"/>
  <c r="BL150" i="3"/>
  <c r="AX150" i="3"/>
  <c r="AW150" i="3"/>
  <c r="AV150" i="3"/>
  <c r="BP149" i="3"/>
  <c r="BO149" i="3"/>
  <c r="BN149" i="3"/>
  <c r="BM149" i="3"/>
  <c r="BL149" i="3"/>
  <c r="AX149" i="3"/>
  <c r="AW149" i="3"/>
  <c r="AV149" i="3"/>
  <c r="BP148" i="3"/>
  <c r="BO148" i="3"/>
  <c r="BN148" i="3"/>
  <c r="BM148" i="3"/>
  <c r="AX148" i="3"/>
  <c r="AW148" i="3"/>
  <c r="AV148" i="3"/>
  <c r="BP147" i="3"/>
  <c r="BO147" i="3"/>
  <c r="BN147" i="3"/>
  <c r="BM147" i="3"/>
  <c r="BL147" i="3"/>
  <c r="AX147" i="3"/>
  <c r="AW147" i="3"/>
  <c r="AV147" i="3"/>
  <c r="BP146" i="3"/>
  <c r="BO146" i="3"/>
  <c r="BN146" i="3"/>
  <c r="BM146" i="3"/>
  <c r="BL146" i="3"/>
  <c r="AX146" i="3"/>
  <c r="AW146" i="3"/>
  <c r="AV146" i="3"/>
  <c r="BP145" i="3"/>
  <c r="BO145" i="3"/>
  <c r="BN145" i="3"/>
  <c r="BM145" i="3"/>
  <c r="BL145" i="3"/>
  <c r="AZ145" i="3"/>
  <c r="AX145" i="3"/>
  <c r="AW145" i="3"/>
  <c r="AV145" i="3"/>
  <c r="BP144" i="3"/>
  <c r="BO144" i="3"/>
  <c r="BN144" i="3"/>
  <c r="BM144" i="3"/>
  <c r="AX144" i="3"/>
  <c r="AW144" i="3"/>
  <c r="AV144" i="3"/>
  <c r="BP143" i="3"/>
  <c r="BO143" i="3"/>
  <c r="BN143" i="3"/>
  <c r="BM143" i="3"/>
  <c r="BL143" i="3"/>
  <c r="AX143" i="3"/>
  <c r="AW143" i="3"/>
  <c r="AV143" i="3"/>
  <c r="BP142" i="3"/>
  <c r="BO142" i="3"/>
  <c r="BN142" i="3"/>
  <c r="BM142" i="3"/>
  <c r="BL142" i="3"/>
  <c r="AX142" i="3"/>
  <c r="AW142" i="3"/>
  <c r="AV142" i="3"/>
  <c r="BP141" i="3"/>
  <c r="BO141" i="3"/>
  <c r="BN141" i="3"/>
  <c r="BM141" i="3"/>
  <c r="BL141" i="3"/>
  <c r="AZ141" i="3"/>
  <c r="AX141" i="3"/>
  <c r="AW141" i="3"/>
  <c r="AV141" i="3"/>
  <c r="BP140" i="3"/>
  <c r="BO140" i="3"/>
  <c r="BN140" i="3"/>
  <c r="BM140" i="3"/>
  <c r="AX140" i="3"/>
  <c r="AW140" i="3"/>
  <c r="AV140" i="3"/>
  <c r="BP139" i="3"/>
  <c r="BO139" i="3"/>
  <c r="BN139" i="3"/>
  <c r="BM139" i="3"/>
  <c r="BL139" i="3"/>
  <c r="AX139" i="3"/>
  <c r="AW139" i="3"/>
  <c r="AV139" i="3"/>
  <c r="BP138" i="3"/>
  <c r="BO138" i="3"/>
  <c r="BN138" i="3"/>
  <c r="BM138" i="3"/>
  <c r="BL138" i="3"/>
  <c r="AX138" i="3"/>
  <c r="AW138" i="3"/>
  <c r="AV138" i="3"/>
  <c r="BP137" i="3"/>
  <c r="BO137" i="3"/>
  <c r="BN137" i="3"/>
  <c r="BM137" i="3"/>
  <c r="BL137" i="3"/>
  <c r="AZ137" i="3"/>
  <c r="AX137" i="3"/>
  <c r="AW137" i="3"/>
  <c r="AV137" i="3"/>
  <c r="BP136" i="3"/>
  <c r="BO136" i="3"/>
  <c r="BN136" i="3"/>
  <c r="BM136" i="3"/>
  <c r="AX136" i="3"/>
  <c r="AW136" i="3"/>
  <c r="AV136" i="3"/>
  <c r="BP135" i="3"/>
  <c r="BO135" i="3"/>
  <c r="BN135" i="3"/>
  <c r="BM135" i="3"/>
  <c r="BL135" i="3"/>
  <c r="AX135" i="3"/>
  <c r="AW135" i="3"/>
  <c r="AV135" i="3"/>
  <c r="BP134" i="3"/>
  <c r="BO134" i="3"/>
  <c r="BN134" i="3"/>
  <c r="BM134" i="3"/>
  <c r="BL134" i="3"/>
  <c r="AZ134" i="3"/>
  <c r="AX134" i="3"/>
  <c r="AW134" i="3"/>
  <c r="AV134" i="3"/>
  <c r="BP133" i="3"/>
  <c r="BO133" i="3"/>
  <c r="BN133" i="3"/>
  <c r="BM133" i="3"/>
  <c r="BL133" i="3"/>
  <c r="AX133" i="3"/>
  <c r="AW133" i="3"/>
  <c r="AV133" i="3"/>
  <c r="BP132" i="3"/>
  <c r="BO132" i="3"/>
  <c r="BN132" i="3"/>
  <c r="BM132" i="3"/>
  <c r="AX132" i="3"/>
  <c r="AW132" i="3"/>
  <c r="AV132" i="3"/>
  <c r="BP131" i="3"/>
  <c r="BO131" i="3"/>
  <c r="BN131" i="3"/>
  <c r="BM131" i="3"/>
  <c r="BL131" i="3"/>
  <c r="AX131" i="3"/>
  <c r="AW131" i="3"/>
  <c r="AV131" i="3"/>
  <c r="BP130" i="3"/>
  <c r="BO130" i="3"/>
  <c r="BN130" i="3"/>
  <c r="BM130" i="3"/>
  <c r="BL130" i="3"/>
  <c r="AX130" i="3"/>
  <c r="AW130" i="3"/>
  <c r="AV130" i="3"/>
  <c r="BP129" i="3"/>
  <c r="BO129" i="3"/>
  <c r="BN129" i="3"/>
  <c r="BM129" i="3"/>
  <c r="BL129" i="3"/>
  <c r="AZ129" i="3"/>
  <c r="AX129" i="3"/>
  <c r="AW129" i="3"/>
  <c r="AV129" i="3"/>
  <c r="BP128" i="3"/>
  <c r="BO128" i="3"/>
  <c r="BN128" i="3"/>
  <c r="BM128" i="3"/>
  <c r="AX128" i="3"/>
  <c r="AW128" i="3"/>
  <c r="AV128" i="3"/>
  <c r="BP127" i="3"/>
  <c r="BO127" i="3"/>
  <c r="BN127" i="3"/>
  <c r="BM127" i="3"/>
  <c r="BL127" i="3"/>
  <c r="AX127" i="3"/>
  <c r="AW127" i="3"/>
  <c r="AV127" i="3"/>
  <c r="BP126" i="3"/>
  <c r="BO126" i="3"/>
  <c r="BN126" i="3"/>
  <c r="BM126" i="3"/>
  <c r="BL126" i="3"/>
  <c r="AZ126" i="3"/>
  <c r="AX126" i="3"/>
  <c r="AW126" i="3"/>
  <c r="AV126" i="3"/>
  <c r="BP125" i="3"/>
  <c r="BO125" i="3"/>
  <c r="BN125" i="3"/>
  <c r="BM125" i="3"/>
  <c r="BL125" i="3"/>
  <c r="AZ125" i="3"/>
  <c r="AX125" i="3"/>
  <c r="AW125" i="3"/>
  <c r="AV125" i="3"/>
  <c r="BP124" i="3"/>
  <c r="BO124" i="3"/>
  <c r="BN124" i="3"/>
  <c r="BM124" i="3"/>
  <c r="AX124" i="3"/>
  <c r="AW124" i="3"/>
  <c r="AV124" i="3"/>
  <c r="BP123" i="3"/>
  <c r="BO123" i="3"/>
  <c r="BN123" i="3"/>
  <c r="BM123" i="3"/>
  <c r="BL123" i="3"/>
  <c r="AX123" i="3"/>
  <c r="AW123" i="3"/>
  <c r="AV123" i="3"/>
  <c r="BP122" i="3"/>
  <c r="BO122" i="3"/>
  <c r="BN122" i="3"/>
  <c r="BM122" i="3"/>
  <c r="BL122" i="3"/>
  <c r="AZ122" i="3"/>
  <c r="AX122" i="3"/>
  <c r="AW122" i="3"/>
  <c r="AV122" i="3"/>
  <c r="BP121" i="3"/>
  <c r="BO121" i="3"/>
  <c r="BN121" i="3"/>
  <c r="BM121" i="3"/>
  <c r="BL121" i="3"/>
  <c r="AZ121" i="3"/>
  <c r="AX121" i="3"/>
  <c r="AW121" i="3"/>
  <c r="AV121" i="3"/>
  <c r="BP120" i="3"/>
  <c r="BO120" i="3"/>
  <c r="BN120" i="3"/>
  <c r="BM120" i="3"/>
  <c r="AX120" i="3"/>
  <c r="AW120" i="3"/>
  <c r="AV120" i="3"/>
  <c r="BP119" i="3"/>
  <c r="BO119" i="3"/>
  <c r="BN119" i="3"/>
  <c r="BM119" i="3"/>
  <c r="BL119" i="3"/>
  <c r="AX119" i="3"/>
  <c r="AW119" i="3"/>
  <c r="AV119" i="3"/>
  <c r="BP118" i="3"/>
  <c r="BO118" i="3"/>
  <c r="BN118" i="3"/>
  <c r="BM118" i="3"/>
  <c r="BL118" i="3"/>
  <c r="AZ118" i="3"/>
  <c r="AX118" i="3"/>
  <c r="AW118" i="3"/>
  <c r="AV118" i="3"/>
  <c r="BP117" i="3"/>
  <c r="BO117" i="3"/>
  <c r="BN117" i="3"/>
  <c r="BM117" i="3"/>
  <c r="BL117" i="3"/>
  <c r="AX117" i="3"/>
  <c r="AW117" i="3"/>
  <c r="AV117" i="3"/>
  <c r="BP116" i="3"/>
  <c r="BO116" i="3"/>
  <c r="BN116" i="3"/>
  <c r="BM116" i="3"/>
  <c r="AX116" i="3"/>
  <c r="AW116" i="3"/>
  <c r="AV116" i="3"/>
  <c r="BP115" i="3"/>
  <c r="BO115" i="3"/>
  <c r="BN115" i="3"/>
  <c r="BM115" i="3"/>
  <c r="BL115" i="3"/>
  <c r="AX115" i="3"/>
  <c r="AW115" i="3"/>
  <c r="AV115" i="3"/>
  <c r="BP114" i="3"/>
  <c r="BO114" i="3"/>
  <c r="BN114" i="3"/>
  <c r="BM114" i="3"/>
  <c r="BL114" i="3"/>
  <c r="AX114" i="3"/>
  <c r="AW114" i="3"/>
  <c r="AV114" i="3"/>
  <c r="BP113" i="3"/>
  <c r="BO113" i="3"/>
  <c r="BN113" i="3"/>
  <c r="BM113" i="3"/>
  <c r="BL113" i="3"/>
  <c r="AZ113" i="3"/>
  <c r="AX113" i="3"/>
  <c r="AW113" i="3"/>
  <c r="AV113" i="3"/>
  <c r="BP302" i="3"/>
  <c r="BO302" i="3"/>
  <c r="BN302" i="3"/>
  <c r="BM302" i="3"/>
  <c r="BL302" i="3"/>
  <c r="AZ302" i="3"/>
  <c r="AX302" i="3"/>
  <c r="AW302" i="3"/>
  <c r="AV302" i="3"/>
  <c r="BP301" i="3"/>
  <c r="BO301" i="3"/>
  <c r="BN301" i="3"/>
  <c r="BM301" i="3"/>
  <c r="BL301" i="3"/>
  <c r="AZ301" i="3"/>
  <c r="AX301" i="3"/>
  <c r="AW301" i="3"/>
  <c r="AV301" i="3"/>
  <c r="BP300" i="3"/>
  <c r="BO300" i="3"/>
  <c r="BN300" i="3"/>
  <c r="BM300" i="3"/>
  <c r="BL300" i="3"/>
  <c r="AZ300" i="3"/>
  <c r="AX300" i="3"/>
  <c r="AW300" i="3"/>
  <c r="AV300" i="3"/>
  <c r="BP299" i="3"/>
  <c r="BO299" i="3"/>
  <c r="BN299" i="3"/>
  <c r="BM299" i="3"/>
  <c r="BL299" i="3"/>
  <c r="AX299" i="3"/>
  <c r="AW299" i="3"/>
  <c r="AV299" i="3"/>
  <c r="BP298" i="3"/>
  <c r="BO298" i="3"/>
  <c r="BN298" i="3"/>
  <c r="BM298" i="3"/>
  <c r="BL298" i="3"/>
  <c r="AZ298" i="3"/>
  <c r="AX298" i="3"/>
  <c r="AW298" i="3"/>
  <c r="AV298" i="3"/>
  <c r="BP297" i="3"/>
  <c r="BO297" i="3"/>
  <c r="BN297" i="3"/>
  <c r="BM297" i="3"/>
  <c r="BL297" i="3"/>
  <c r="AX297" i="3"/>
  <c r="AW297" i="3"/>
  <c r="AV297" i="3"/>
  <c r="BP296" i="3"/>
  <c r="BO296" i="3"/>
  <c r="BN296" i="3"/>
  <c r="BM296" i="3"/>
  <c r="BL296" i="3"/>
  <c r="AX296" i="3"/>
  <c r="AW296" i="3"/>
  <c r="AV296" i="3"/>
  <c r="BP295" i="3"/>
  <c r="BO295" i="3"/>
  <c r="BN295" i="3"/>
  <c r="BM295" i="3"/>
  <c r="BL295" i="3"/>
  <c r="AX295" i="3"/>
  <c r="AW295" i="3"/>
  <c r="AV295" i="3"/>
  <c r="BP294" i="3"/>
  <c r="BO294" i="3"/>
  <c r="BN294" i="3"/>
  <c r="BM294" i="3"/>
  <c r="BL294" i="3"/>
  <c r="AZ294" i="3"/>
  <c r="AX294" i="3"/>
  <c r="AW294" i="3"/>
  <c r="AV294" i="3"/>
  <c r="BP293" i="3"/>
  <c r="BO293" i="3"/>
  <c r="BN293" i="3"/>
  <c r="BM293" i="3"/>
  <c r="BL293" i="3"/>
  <c r="AZ293" i="3"/>
  <c r="AX293" i="3"/>
  <c r="AW293" i="3"/>
  <c r="AV293" i="3"/>
  <c r="BP292" i="3"/>
  <c r="BO292" i="3"/>
  <c r="BN292" i="3"/>
  <c r="BM292" i="3"/>
  <c r="BL292" i="3"/>
  <c r="AZ292" i="3"/>
  <c r="AX292" i="3"/>
  <c r="AW292" i="3"/>
  <c r="AV292" i="3"/>
  <c r="BP291" i="3"/>
  <c r="BO291" i="3"/>
  <c r="BN291" i="3"/>
  <c r="BM291" i="3"/>
  <c r="BL291" i="3"/>
  <c r="AX291" i="3"/>
  <c r="AW291" i="3"/>
  <c r="AV291" i="3"/>
  <c r="BP290" i="3"/>
  <c r="BO290" i="3"/>
  <c r="BN290" i="3"/>
  <c r="BM290" i="3"/>
  <c r="BL290" i="3"/>
  <c r="AZ290" i="3"/>
  <c r="AX290" i="3"/>
  <c r="AW290" i="3"/>
  <c r="AV290" i="3"/>
  <c r="BP289" i="3"/>
  <c r="BO289" i="3"/>
  <c r="BN289" i="3"/>
  <c r="BM289" i="3"/>
  <c r="BL289" i="3"/>
  <c r="AZ289" i="3"/>
  <c r="AX289" i="3"/>
  <c r="AW289" i="3"/>
  <c r="AV289" i="3"/>
  <c r="BP288" i="3"/>
  <c r="BO288" i="3"/>
  <c r="BN288" i="3"/>
  <c r="BM288" i="3"/>
  <c r="BL288" i="3"/>
  <c r="AX288" i="3"/>
  <c r="AW288" i="3"/>
  <c r="AV288" i="3"/>
  <c r="BP287" i="3"/>
  <c r="BO287" i="3"/>
  <c r="BN287" i="3"/>
  <c r="BM287" i="3"/>
  <c r="BL287" i="3"/>
  <c r="AX287" i="3"/>
  <c r="AW287" i="3"/>
  <c r="AV287" i="3"/>
  <c r="BP286" i="3"/>
  <c r="BO286" i="3"/>
  <c r="BN286" i="3"/>
  <c r="BM286" i="3"/>
  <c r="BL286" i="3"/>
  <c r="AX286" i="3"/>
  <c r="AW286" i="3"/>
  <c r="AV286" i="3"/>
  <c r="BP285" i="3"/>
  <c r="BO285" i="3"/>
  <c r="BN285" i="3"/>
  <c r="BM285" i="3"/>
  <c r="BL285" i="3"/>
  <c r="AZ285" i="3"/>
  <c r="AX285" i="3"/>
  <c r="AW285" i="3"/>
  <c r="AV285" i="3"/>
  <c r="BP284" i="3"/>
  <c r="BO284" i="3"/>
  <c r="BN284" i="3"/>
  <c r="BM284" i="3"/>
  <c r="BL284" i="3"/>
  <c r="AZ284" i="3"/>
  <c r="AX284" i="3"/>
  <c r="AW284" i="3"/>
  <c r="AV284" i="3"/>
  <c r="BP283" i="3"/>
  <c r="BO283" i="3"/>
  <c r="BN283" i="3"/>
  <c r="BM283" i="3"/>
  <c r="BL283" i="3"/>
  <c r="AX283" i="3"/>
  <c r="AW283" i="3"/>
  <c r="AV283" i="3"/>
  <c r="BP282" i="3"/>
  <c r="BO282" i="3"/>
  <c r="BN282" i="3"/>
  <c r="BM282" i="3"/>
  <c r="BL282" i="3"/>
  <c r="AZ282" i="3"/>
  <c r="AX282" i="3"/>
  <c r="AW282" i="3"/>
  <c r="AV282" i="3"/>
  <c r="BP281" i="3"/>
  <c r="BO281" i="3"/>
  <c r="BN281" i="3"/>
  <c r="BM281" i="3"/>
  <c r="BL281" i="3"/>
  <c r="AX281" i="3"/>
  <c r="AW281" i="3"/>
  <c r="AV281" i="3"/>
  <c r="BP280" i="3"/>
  <c r="BO280" i="3"/>
  <c r="BN280" i="3"/>
  <c r="BM280" i="3"/>
  <c r="BL280" i="3"/>
  <c r="AX280" i="3"/>
  <c r="AW280" i="3"/>
  <c r="AV280" i="3"/>
  <c r="BP279" i="3"/>
  <c r="BO279" i="3"/>
  <c r="BN279" i="3"/>
  <c r="BM279" i="3"/>
  <c r="BL279" i="3"/>
  <c r="AX279" i="3"/>
  <c r="AW279" i="3"/>
  <c r="AV279" i="3"/>
  <c r="BP278" i="3"/>
  <c r="BO278" i="3"/>
  <c r="BN278" i="3"/>
  <c r="BM278" i="3"/>
  <c r="BL278" i="3"/>
  <c r="AZ278" i="3"/>
  <c r="AX278" i="3"/>
  <c r="AW278" i="3"/>
  <c r="AV278" i="3"/>
  <c r="BP277" i="3"/>
  <c r="BO277" i="3"/>
  <c r="BN277" i="3"/>
  <c r="BM277" i="3"/>
  <c r="BL277" i="3"/>
  <c r="AZ277" i="3"/>
  <c r="AX277" i="3"/>
  <c r="AW277" i="3"/>
  <c r="AV277" i="3"/>
  <c r="BP276" i="3"/>
  <c r="BO276" i="3"/>
  <c r="BN276" i="3"/>
  <c r="BM276" i="3"/>
  <c r="BL276" i="3"/>
  <c r="AZ276" i="3"/>
  <c r="AX276" i="3"/>
  <c r="AW276" i="3"/>
  <c r="AV276" i="3"/>
  <c r="BP275" i="3"/>
  <c r="BO275" i="3"/>
  <c r="BN275" i="3"/>
  <c r="BM275" i="3"/>
  <c r="BL275" i="3"/>
  <c r="AX275" i="3"/>
  <c r="AW275" i="3"/>
  <c r="AV275" i="3"/>
  <c r="BP274" i="3"/>
  <c r="BO274" i="3"/>
  <c r="BN274" i="3"/>
  <c r="BM274" i="3"/>
  <c r="BL274" i="3"/>
  <c r="AZ274" i="3"/>
  <c r="AX274" i="3"/>
  <c r="AW274" i="3"/>
  <c r="AV274" i="3"/>
  <c r="BP273" i="3"/>
  <c r="BO273" i="3"/>
  <c r="BN273" i="3"/>
  <c r="BM273" i="3"/>
  <c r="BL273" i="3"/>
  <c r="AX273" i="3"/>
  <c r="AW273" i="3"/>
  <c r="AV273" i="3"/>
  <c r="BP272" i="3"/>
  <c r="BO272" i="3"/>
  <c r="BN272" i="3"/>
  <c r="BM272" i="3"/>
  <c r="BL272" i="3"/>
  <c r="AZ272" i="3"/>
  <c r="AX272" i="3"/>
  <c r="AW272" i="3"/>
  <c r="AV272" i="3"/>
  <c r="BP271" i="3"/>
  <c r="BO271" i="3"/>
  <c r="BN271" i="3"/>
  <c r="BM271" i="3"/>
  <c r="BL271" i="3"/>
  <c r="AX271" i="3"/>
  <c r="AW271" i="3"/>
  <c r="AV271" i="3"/>
  <c r="BP270" i="3"/>
  <c r="BO270" i="3"/>
  <c r="BN270" i="3"/>
  <c r="BM270" i="3"/>
  <c r="BL270" i="3"/>
  <c r="AZ270" i="3"/>
  <c r="AX270" i="3"/>
  <c r="AW270" i="3"/>
  <c r="AV270" i="3"/>
  <c r="BP269" i="3"/>
  <c r="BO269" i="3"/>
  <c r="BN269" i="3"/>
  <c r="BM269" i="3"/>
  <c r="BL269" i="3"/>
  <c r="AX269" i="3"/>
  <c r="AW269" i="3"/>
  <c r="AV269" i="3"/>
  <c r="BP268" i="3"/>
  <c r="BO268" i="3"/>
  <c r="BN268" i="3"/>
  <c r="BM268" i="3"/>
  <c r="BL268" i="3"/>
  <c r="AX268" i="3"/>
  <c r="AW268" i="3"/>
  <c r="AV268" i="3"/>
  <c r="BP267" i="3"/>
  <c r="BO267" i="3"/>
  <c r="BN267" i="3"/>
  <c r="BM267" i="3"/>
  <c r="BL267" i="3"/>
  <c r="AZ267" i="3"/>
  <c r="AX267" i="3"/>
  <c r="AW267" i="3"/>
  <c r="AV267" i="3"/>
  <c r="BP266" i="3"/>
  <c r="BO266" i="3"/>
  <c r="BN266" i="3"/>
  <c r="BM266" i="3"/>
  <c r="BL266" i="3"/>
  <c r="AX266" i="3"/>
  <c r="AW266" i="3"/>
  <c r="AV266" i="3"/>
  <c r="BP265" i="3"/>
  <c r="BO265" i="3"/>
  <c r="BN265" i="3"/>
  <c r="BM265" i="3"/>
  <c r="BL265" i="3"/>
  <c r="AX265" i="3"/>
  <c r="AW265" i="3"/>
  <c r="AV265" i="3"/>
  <c r="BP264" i="3"/>
  <c r="BO264" i="3"/>
  <c r="BN264" i="3"/>
  <c r="BM264" i="3"/>
  <c r="BL264" i="3"/>
  <c r="AZ264" i="3"/>
  <c r="AX264" i="3"/>
  <c r="AW264" i="3"/>
  <c r="AV264" i="3"/>
  <c r="BP263" i="3"/>
  <c r="BO263" i="3"/>
  <c r="BN263" i="3"/>
  <c r="BM263" i="3"/>
  <c r="BL263" i="3"/>
  <c r="AX263" i="3"/>
  <c r="AW263" i="3"/>
  <c r="AV263" i="3"/>
  <c r="BP262" i="3"/>
  <c r="BO262" i="3"/>
  <c r="BN262" i="3"/>
  <c r="BM262" i="3"/>
  <c r="BL262" i="3"/>
  <c r="AZ262" i="3"/>
  <c r="AX262" i="3"/>
  <c r="AW262" i="3"/>
  <c r="AV262" i="3"/>
  <c r="BP261" i="3"/>
  <c r="BO261" i="3"/>
  <c r="BN261" i="3"/>
  <c r="BM261" i="3"/>
  <c r="BL261" i="3"/>
  <c r="AX261" i="3"/>
  <c r="AW261" i="3"/>
  <c r="AV261" i="3"/>
  <c r="BP260" i="3"/>
  <c r="BO260" i="3"/>
  <c r="BN260" i="3"/>
  <c r="BM260" i="3"/>
  <c r="BL260" i="3"/>
  <c r="AZ260" i="3"/>
  <c r="AX260" i="3"/>
  <c r="AW260" i="3"/>
  <c r="AV260" i="3"/>
  <c r="BP259" i="3"/>
  <c r="BO259" i="3"/>
  <c r="BN259" i="3"/>
  <c r="BM259" i="3"/>
  <c r="BL259" i="3"/>
  <c r="AX259" i="3"/>
  <c r="AW259" i="3"/>
  <c r="AV259" i="3"/>
  <c r="BP258" i="3"/>
  <c r="BO258" i="3"/>
  <c r="BN258" i="3"/>
  <c r="BM258" i="3"/>
  <c r="BL258" i="3"/>
  <c r="AZ258" i="3"/>
  <c r="AX258" i="3"/>
  <c r="AW258" i="3"/>
  <c r="AV258" i="3"/>
  <c r="BP257" i="3"/>
  <c r="BO257" i="3"/>
  <c r="BN257" i="3"/>
  <c r="BM257" i="3"/>
  <c r="BL257" i="3"/>
  <c r="AX257" i="3"/>
  <c r="AW257" i="3"/>
  <c r="AV257" i="3"/>
  <c r="BP256" i="3"/>
  <c r="BO256" i="3"/>
  <c r="BN256" i="3"/>
  <c r="BM256" i="3"/>
  <c r="BL256" i="3"/>
  <c r="AX256" i="3"/>
  <c r="AW256" i="3"/>
  <c r="AV256" i="3"/>
  <c r="BP255" i="3"/>
  <c r="BO255" i="3"/>
  <c r="BN255" i="3"/>
  <c r="BM255" i="3"/>
  <c r="BL255" i="3"/>
  <c r="AZ255" i="3"/>
  <c r="AX255" i="3"/>
  <c r="AW255" i="3"/>
  <c r="AV255" i="3"/>
  <c r="BP254" i="3"/>
  <c r="BO254" i="3"/>
  <c r="BN254" i="3"/>
  <c r="BM254" i="3"/>
  <c r="BL254" i="3"/>
  <c r="AX254" i="3"/>
  <c r="AW254" i="3"/>
  <c r="AV254" i="3"/>
  <c r="BP253" i="3"/>
  <c r="BO253" i="3"/>
  <c r="BN253" i="3"/>
  <c r="BM253" i="3"/>
  <c r="BL253" i="3"/>
  <c r="AX253" i="3"/>
  <c r="AW253" i="3"/>
  <c r="AV253" i="3"/>
  <c r="BP252" i="3"/>
  <c r="BO252" i="3"/>
  <c r="BN252" i="3"/>
  <c r="BM252" i="3"/>
  <c r="BL252" i="3"/>
  <c r="AZ252" i="3"/>
  <c r="AX252" i="3"/>
  <c r="AW252" i="3"/>
  <c r="AV252" i="3"/>
  <c r="BP251" i="3"/>
  <c r="BO251" i="3"/>
  <c r="BN251" i="3"/>
  <c r="BM251" i="3"/>
  <c r="BL251" i="3"/>
  <c r="AX251" i="3"/>
  <c r="AW251" i="3"/>
  <c r="AV251" i="3"/>
  <c r="BP250" i="3"/>
  <c r="BO250" i="3"/>
  <c r="BN250" i="3"/>
  <c r="BM250" i="3"/>
  <c r="BL250" i="3"/>
  <c r="AX250" i="3"/>
  <c r="AW250" i="3"/>
  <c r="AV250" i="3"/>
  <c r="BP249" i="3"/>
  <c r="BO249" i="3"/>
  <c r="BN249" i="3"/>
  <c r="BM249" i="3"/>
  <c r="BL249" i="3"/>
  <c r="AX249" i="3"/>
  <c r="AW249" i="3"/>
  <c r="AV249" i="3"/>
  <c r="BP248" i="3"/>
  <c r="BO248" i="3"/>
  <c r="BN248" i="3"/>
  <c r="BM248" i="3"/>
  <c r="BL248" i="3"/>
  <c r="AX248" i="3"/>
  <c r="AW248" i="3"/>
  <c r="AV248" i="3"/>
  <c r="BP247" i="3"/>
  <c r="BO247" i="3"/>
  <c r="BN247" i="3"/>
  <c r="BM247" i="3"/>
  <c r="BL247" i="3"/>
  <c r="AZ247" i="3"/>
  <c r="AX247" i="3"/>
  <c r="AW247" i="3"/>
  <c r="AV247" i="3"/>
  <c r="BP246" i="3"/>
  <c r="BO246" i="3"/>
  <c r="BN246" i="3"/>
  <c r="BM246" i="3"/>
  <c r="BL246" i="3"/>
  <c r="AZ246" i="3"/>
  <c r="AX246" i="3"/>
  <c r="AW246" i="3"/>
  <c r="AV246" i="3"/>
  <c r="BP245" i="3"/>
  <c r="BO245" i="3"/>
  <c r="BN245" i="3"/>
  <c r="BM245" i="3"/>
  <c r="BL245" i="3"/>
  <c r="AX245" i="3"/>
  <c r="AW245" i="3"/>
  <c r="AV245" i="3"/>
  <c r="BP244" i="3"/>
  <c r="BO244" i="3"/>
  <c r="BN244" i="3"/>
  <c r="BM244" i="3"/>
  <c r="BL244" i="3"/>
  <c r="AZ244" i="3"/>
  <c r="AX244" i="3"/>
  <c r="AW244" i="3"/>
  <c r="AV244" i="3"/>
  <c r="BP243" i="3"/>
  <c r="BO243" i="3"/>
  <c r="BN243" i="3"/>
  <c r="BM243" i="3"/>
  <c r="BL243" i="3"/>
  <c r="AX243" i="3"/>
  <c r="AW243" i="3"/>
  <c r="AV243" i="3"/>
  <c r="BP242" i="3"/>
  <c r="BO242" i="3"/>
  <c r="BN242" i="3"/>
  <c r="BM242" i="3"/>
  <c r="BL242" i="3"/>
  <c r="AZ242" i="3"/>
  <c r="AX242" i="3"/>
  <c r="AW242" i="3"/>
  <c r="AV242" i="3"/>
  <c r="BP241" i="3"/>
  <c r="BO241" i="3"/>
  <c r="BN241" i="3"/>
  <c r="BM241" i="3"/>
  <c r="BL241" i="3"/>
  <c r="AX241" i="3"/>
  <c r="AW241" i="3"/>
  <c r="AV241" i="3"/>
  <c r="BP240" i="3"/>
  <c r="BO240" i="3"/>
  <c r="BN240" i="3"/>
  <c r="BM240" i="3"/>
  <c r="BL240" i="3"/>
  <c r="AX240" i="3"/>
  <c r="AW240" i="3"/>
  <c r="AV240" i="3"/>
  <c r="BP239" i="3"/>
  <c r="BO239" i="3"/>
  <c r="BN239" i="3"/>
  <c r="BM239" i="3"/>
  <c r="BL239" i="3"/>
  <c r="AZ239" i="3"/>
  <c r="AX239" i="3"/>
  <c r="AW239" i="3"/>
  <c r="AV239" i="3"/>
  <c r="BP238" i="3"/>
  <c r="BO238" i="3"/>
  <c r="BN238" i="3"/>
  <c r="BM238" i="3"/>
  <c r="BL238" i="3"/>
  <c r="AX238" i="3"/>
  <c r="AW238" i="3"/>
  <c r="AV238" i="3"/>
  <c r="BP237" i="3"/>
  <c r="BO237" i="3"/>
  <c r="BN237" i="3"/>
  <c r="BM237" i="3"/>
  <c r="BL237" i="3"/>
  <c r="AX237" i="3"/>
  <c r="AW237" i="3"/>
  <c r="AV237" i="3"/>
  <c r="BP236" i="3"/>
  <c r="BO236" i="3"/>
  <c r="BN236" i="3"/>
  <c r="BM236" i="3"/>
  <c r="BL236" i="3"/>
  <c r="AZ236" i="3"/>
  <c r="AX236" i="3"/>
  <c r="AW236" i="3"/>
  <c r="AV236" i="3"/>
  <c r="BP235" i="3"/>
  <c r="BO235" i="3"/>
  <c r="BN235" i="3"/>
  <c r="BM235" i="3"/>
  <c r="BL235" i="3"/>
  <c r="AX235" i="3"/>
  <c r="AW235" i="3"/>
  <c r="AV235" i="3"/>
  <c r="BP234" i="3"/>
  <c r="BO234" i="3"/>
  <c r="BN234" i="3"/>
  <c r="BM234" i="3"/>
  <c r="BL234" i="3"/>
  <c r="AX234" i="3"/>
  <c r="AW234" i="3"/>
  <c r="AV234" i="3"/>
  <c r="BP233" i="3"/>
  <c r="BO233" i="3"/>
  <c r="BN233" i="3"/>
  <c r="BM233" i="3"/>
  <c r="BL233" i="3"/>
  <c r="AX233" i="3"/>
  <c r="AW233" i="3"/>
  <c r="AV233" i="3"/>
  <c r="BP232" i="3"/>
  <c r="BO232" i="3"/>
  <c r="BN232" i="3"/>
  <c r="BM232" i="3"/>
  <c r="BL232" i="3"/>
  <c r="AX232" i="3"/>
  <c r="AW232" i="3"/>
  <c r="AV232" i="3"/>
  <c r="BP231" i="3"/>
  <c r="BO231" i="3"/>
  <c r="BN231" i="3"/>
  <c r="BM231" i="3"/>
  <c r="BL231" i="3"/>
  <c r="AZ231" i="3"/>
  <c r="AX231" i="3"/>
  <c r="AW231" i="3"/>
  <c r="AV231" i="3"/>
  <c r="BP230" i="3"/>
  <c r="BO230" i="3"/>
  <c r="BN230" i="3"/>
  <c r="BM230" i="3"/>
  <c r="BL230" i="3"/>
  <c r="AZ230" i="3"/>
  <c r="AX230" i="3"/>
  <c r="AW230" i="3"/>
  <c r="AV230" i="3"/>
  <c r="BP229" i="3"/>
  <c r="BO229" i="3"/>
  <c r="BN229" i="3"/>
  <c r="BM229" i="3"/>
  <c r="BL229" i="3"/>
  <c r="AX229" i="3"/>
  <c r="AW229" i="3"/>
  <c r="AV229" i="3"/>
  <c r="BP228" i="3"/>
  <c r="BO228" i="3"/>
  <c r="BN228" i="3"/>
  <c r="BM228" i="3"/>
  <c r="BL228" i="3"/>
  <c r="AZ228" i="3"/>
  <c r="AX228" i="3"/>
  <c r="AW228" i="3"/>
  <c r="AV228" i="3"/>
  <c r="BP227" i="3"/>
  <c r="BO227" i="3"/>
  <c r="BN227" i="3"/>
  <c r="BM227" i="3"/>
  <c r="BL227" i="3"/>
  <c r="AX227" i="3"/>
  <c r="AW227" i="3"/>
  <c r="AV227" i="3"/>
  <c r="BP226" i="3"/>
  <c r="BO226" i="3"/>
  <c r="BN226" i="3"/>
  <c r="BM226" i="3"/>
  <c r="BL226" i="3"/>
  <c r="AZ226" i="3"/>
  <c r="AX226" i="3"/>
  <c r="AW226" i="3"/>
  <c r="AV226" i="3"/>
  <c r="BP225" i="3"/>
  <c r="BO225" i="3"/>
  <c r="BN225" i="3"/>
  <c r="BM225" i="3"/>
  <c r="BL225" i="3"/>
  <c r="AZ225" i="3"/>
  <c r="AX225" i="3"/>
  <c r="AW225" i="3"/>
  <c r="AV225" i="3"/>
  <c r="BP224" i="3"/>
  <c r="BO224" i="3"/>
  <c r="BN224" i="3"/>
  <c r="BM224" i="3"/>
  <c r="BL224" i="3"/>
  <c r="AX224" i="3"/>
  <c r="AW224" i="3"/>
  <c r="AV224" i="3"/>
  <c r="BP223" i="3"/>
  <c r="BO223" i="3"/>
  <c r="BN223" i="3"/>
  <c r="BM223" i="3"/>
  <c r="BL223" i="3"/>
  <c r="AX223" i="3"/>
  <c r="AW223" i="3"/>
  <c r="AV223" i="3"/>
  <c r="BP222" i="3"/>
  <c r="BO222" i="3"/>
  <c r="BN222" i="3"/>
  <c r="BM222" i="3"/>
  <c r="BL222" i="3"/>
  <c r="AX222" i="3"/>
  <c r="AW222" i="3"/>
  <c r="AV222" i="3"/>
  <c r="BP221" i="3"/>
  <c r="BO221" i="3"/>
  <c r="BN221" i="3"/>
  <c r="BM221" i="3"/>
  <c r="BL221" i="3"/>
  <c r="AZ221" i="3"/>
  <c r="AX221" i="3"/>
  <c r="AW221" i="3"/>
  <c r="AV221" i="3"/>
  <c r="BP220" i="3"/>
  <c r="BO220" i="3"/>
  <c r="BN220" i="3"/>
  <c r="BM220" i="3"/>
  <c r="BL220" i="3"/>
  <c r="AZ220" i="3"/>
  <c r="AX220" i="3"/>
  <c r="AW220" i="3"/>
  <c r="AV220" i="3"/>
  <c r="BP219" i="3"/>
  <c r="BO219" i="3"/>
  <c r="BN219" i="3"/>
  <c r="BM219" i="3"/>
  <c r="BL219" i="3"/>
  <c r="AZ219" i="3"/>
  <c r="AX219" i="3"/>
  <c r="AW219" i="3"/>
  <c r="AV219" i="3"/>
  <c r="BP218" i="3"/>
  <c r="BO218" i="3"/>
  <c r="BN218" i="3"/>
  <c r="BM218" i="3"/>
  <c r="BL218" i="3"/>
  <c r="AX218" i="3"/>
  <c r="AW218" i="3"/>
  <c r="AV218" i="3"/>
  <c r="BP217" i="3"/>
  <c r="BO217" i="3"/>
  <c r="BN217" i="3"/>
  <c r="BM217" i="3"/>
  <c r="BL217" i="3"/>
  <c r="AZ217" i="3"/>
  <c r="AX217" i="3"/>
  <c r="AW217" i="3"/>
  <c r="AV217" i="3"/>
  <c r="BP216" i="3"/>
  <c r="BO216" i="3"/>
  <c r="BN216" i="3"/>
  <c r="BM216" i="3"/>
  <c r="BL216" i="3"/>
  <c r="AZ216" i="3"/>
  <c r="AX216" i="3"/>
  <c r="AW216" i="3"/>
  <c r="AV216" i="3"/>
  <c r="BP215" i="3"/>
  <c r="BO215" i="3"/>
  <c r="BN215" i="3"/>
  <c r="BM215" i="3"/>
  <c r="BL215" i="3"/>
  <c r="AX215" i="3"/>
  <c r="AW215" i="3"/>
  <c r="AV215" i="3"/>
  <c r="BP214" i="3"/>
  <c r="BO214" i="3"/>
  <c r="BN214" i="3"/>
  <c r="BM214" i="3"/>
  <c r="BL214" i="3"/>
  <c r="AX214" i="3"/>
  <c r="AW214" i="3"/>
  <c r="AV214" i="3"/>
  <c r="BP213" i="3"/>
  <c r="BO213" i="3"/>
  <c r="BN213" i="3"/>
  <c r="BM213" i="3"/>
  <c r="BL213" i="3"/>
  <c r="AX213" i="3"/>
  <c r="AW213" i="3"/>
  <c r="AV213" i="3"/>
  <c r="BP212" i="3"/>
  <c r="BO212" i="3"/>
  <c r="BN212" i="3"/>
  <c r="BM212" i="3"/>
  <c r="BL212" i="3"/>
  <c r="AZ212" i="3"/>
  <c r="AX212" i="3"/>
  <c r="AW212" i="3"/>
  <c r="AV212" i="3"/>
  <c r="BP211" i="3"/>
  <c r="BO211" i="3"/>
  <c r="BN211" i="3"/>
  <c r="BM211" i="3"/>
  <c r="BL211" i="3"/>
  <c r="AZ211" i="3"/>
  <c r="AX211" i="3"/>
  <c r="AW211" i="3"/>
  <c r="AV211" i="3"/>
  <c r="BP210" i="3"/>
  <c r="BO210" i="3"/>
  <c r="BN210" i="3"/>
  <c r="BM210" i="3"/>
  <c r="BL210" i="3"/>
  <c r="AZ210" i="3"/>
  <c r="AX210" i="3"/>
  <c r="AW210" i="3"/>
  <c r="AV210" i="3"/>
  <c r="BP209" i="3"/>
  <c r="BO209" i="3"/>
  <c r="BN209" i="3"/>
  <c r="BM209" i="3"/>
  <c r="BL209" i="3"/>
  <c r="AX209" i="3"/>
  <c r="AW209" i="3"/>
  <c r="AV209" i="3"/>
  <c r="BP208" i="3"/>
  <c r="BO208" i="3"/>
  <c r="BN208" i="3"/>
  <c r="BM208" i="3"/>
  <c r="BL208" i="3"/>
  <c r="AZ208" i="3"/>
  <c r="AX208" i="3"/>
  <c r="AW208" i="3"/>
  <c r="AV208" i="3"/>
  <c r="BP397" i="3"/>
  <c r="BO397" i="3"/>
  <c r="BN397" i="3"/>
  <c r="BM397" i="3"/>
  <c r="BL397" i="3"/>
  <c r="AZ397" i="3"/>
  <c r="AX397" i="3"/>
  <c r="AW397" i="3"/>
  <c r="AV397" i="3"/>
  <c r="BP396" i="3"/>
  <c r="BO396" i="3"/>
  <c r="BN396" i="3"/>
  <c r="BM396" i="3"/>
  <c r="BL396" i="3"/>
  <c r="AX396" i="3"/>
  <c r="AW396" i="3"/>
  <c r="AV396" i="3"/>
  <c r="BP395" i="3"/>
  <c r="BO395" i="3"/>
  <c r="BN395" i="3"/>
  <c r="BM395" i="3"/>
  <c r="BL395" i="3"/>
  <c r="AZ395" i="3"/>
  <c r="AX395" i="3"/>
  <c r="AW395" i="3"/>
  <c r="AV395" i="3"/>
  <c r="BP394" i="3"/>
  <c r="BO394" i="3"/>
  <c r="BN394" i="3"/>
  <c r="BM394" i="3"/>
  <c r="AX394" i="3"/>
  <c r="AW394" i="3"/>
  <c r="AV394" i="3"/>
  <c r="BP393" i="3"/>
  <c r="BO393" i="3"/>
  <c r="BN393" i="3"/>
  <c r="BM393" i="3"/>
  <c r="BL393" i="3"/>
  <c r="AX393" i="3"/>
  <c r="AW393" i="3"/>
  <c r="AV393" i="3"/>
  <c r="BP392" i="3"/>
  <c r="BO392" i="3"/>
  <c r="BN392" i="3"/>
  <c r="BM392" i="3"/>
  <c r="AX392" i="3"/>
  <c r="AW392" i="3"/>
  <c r="AV392" i="3"/>
  <c r="BP391" i="3"/>
  <c r="BO391" i="3"/>
  <c r="BN391" i="3"/>
  <c r="BM391" i="3"/>
  <c r="AX391" i="3"/>
  <c r="AW391" i="3"/>
  <c r="AV391" i="3"/>
  <c r="BP390" i="3"/>
  <c r="BO390" i="3"/>
  <c r="BN390" i="3"/>
  <c r="BM390" i="3"/>
  <c r="AX390" i="3"/>
  <c r="AW390" i="3"/>
  <c r="AV390" i="3"/>
  <c r="BP389" i="3"/>
  <c r="BO389" i="3"/>
  <c r="BN389" i="3"/>
  <c r="BM389" i="3"/>
  <c r="AX389" i="3"/>
  <c r="AW389" i="3"/>
  <c r="AV389" i="3"/>
  <c r="BP388" i="3"/>
  <c r="BO388" i="3"/>
  <c r="BN388" i="3"/>
  <c r="BM388" i="3"/>
  <c r="AX388" i="3"/>
  <c r="AW388" i="3"/>
  <c r="AV388" i="3"/>
  <c r="BP387" i="3"/>
  <c r="BO387" i="3"/>
  <c r="BN387" i="3"/>
  <c r="BM387" i="3"/>
  <c r="AX387" i="3"/>
  <c r="AW387" i="3"/>
  <c r="AV387" i="3"/>
  <c r="BP386" i="3"/>
  <c r="BO386" i="3"/>
  <c r="BN386" i="3"/>
  <c r="BM386" i="3"/>
  <c r="BL386" i="3"/>
  <c r="AX386" i="3"/>
  <c r="AW386" i="3"/>
  <c r="AV386" i="3"/>
  <c r="BP385" i="3"/>
  <c r="BO385" i="3"/>
  <c r="BN385" i="3"/>
  <c r="BM385" i="3"/>
  <c r="BL385" i="3"/>
  <c r="AZ385" i="3"/>
  <c r="AX385" i="3"/>
  <c r="AW385" i="3"/>
  <c r="AV385" i="3"/>
  <c r="BP384" i="3"/>
  <c r="BO384" i="3"/>
  <c r="BN384" i="3"/>
  <c r="BM384" i="3"/>
  <c r="AX384" i="3"/>
  <c r="AW384" i="3"/>
  <c r="AV384" i="3"/>
  <c r="BP383" i="3"/>
  <c r="BO383" i="3"/>
  <c r="BN383" i="3"/>
  <c r="BM383" i="3"/>
  <c r="BL383" i="3"/>
  <c r="AX383" i="3"/>
  <c r="AW383" i="3"/>
  <c r="AV383" i="3"/>
  <c r="BP382" i="3"/>
  <c r="BO382" i="3"/>
  <c r="BN382" i="3"/>
  <c r="BM382" i="3"/>
  <c r="AX382" i="3"/>
  <c r="AW382" i="3"/>
  <c r="AV382" i="3"/>
  <c r="BP381" i="3"/>
  <c r="BO381" i="3"/>
  <c r="BN381" i="3"/>
  <c r="BM381" i="3"/>
  <c r="BL381" i="3"/>
  <c r="AX381" i="3"/>
  <c r="AW381" i="3"/>
  <c r="AV381" i="3"/>
  <c r="BP380" i="3"/>
  <c r="BO380" i="3"/>
  <c r="BN380" i="3"/>
  <c r="BM380" i="3"/>
  <c r="AX380" i="3"/>
  <c r="AW380" i="3"/>
  <c r="AV380" i="3"/>
  <c r="BP379" i="3"/>
  <c r="BO379" i="3"/>
  <c r="BN379" i="3"/>
  <c r="BM379" i="3"/>
  <c r="AX379" i="3"/>
  <c r="AW379" i="3"/>
  <c r="AV379" i="3"/>
  <c r="BP378" i="3"/>
  <c r="BO378" i="3"/>
  <c r="BN378" i="3"/>
  <c r="BM378" i="3"/>
  <c r="AX378" i="3"/>
  <c r="AW378" i="3"/>
  <c r="AV378" i="3"/>
  <c r="BP377" i="3"/>
  <c r="BO377" i="3"/>
  <c r="BN377" i="3"/>
  <c r="BM377" i="3"/>
  <c r="AX377" i="3"/>
  <c r="AW377" i="3"/>
  <c r="AV377" i="3"/>
  <c r="BP376" i="3"/>
  <c r="BO376" i="3"/>
  <c r="BN376" i="3"/>
  <c r="BM376" i="3"/>
  <c r="AX376" i="3"/>
  <c r="AW376" i="3"/>
  <c r="AV376" i="3"/>
  <c r="BP375" i="3"/>
  <c r="BO375" i="3"/>
  <c r="BN375" i="3"/>
  <c r="BM375" i="3"/>
  <c r="BL375" i="3"/>
  <c r="AX375" i="3"/>
  <c r="AW375" i="3"/>
  <c r="AV375" i="3"/>
  <c r="BP374" i="3"/>
  <c r="BO374" i="3"/>
  <c r="BN374" i="3"/>
  <c r="BM374" i="3"/>
  <c r="AX374" i="3"/>
  <c r="AW374" i="3"/>
  <c r="AV374" i="3"/>
  <c r="BP373" i="3"/>
  <c r="BO373" i="3"/>
  <c r="BN373" i="3"/>
  <c r="BM373" i="3"/>
  <c r="AX373" i="3"/>
  <c r="AW373" i="3"/>
  <c r="AV373" i="3"/>
  <c r="BP372" i="3"/>
  <c r="BO372" i="3"/>
  <c r="BN372" i="3"/>
  <c r="BM372" i="3"/>
  <c r="AX372" i="3"/>
  <c r="AW372" i="3"/>
  <c r="AV372" i="3"/>
  <c r="BP371" i="3"/>
  <c r="BO371" i="3"/>
  <c r="BN371" i="3"/>
  <c r="BM371" i="3"/>
  <c r="AX371" i="3"/>
  <c r="AW371" i="3"/>
  <c r="AV371" i="3"/>
  <c r="BP370" i="3"/>
  <c r="BO370" i="3"/>
  <c r="BN370" i="3"/>
  <c r="BM370" i="3"/>
  <c r="AX370" i="3"/>
  <c r="AW370" i="3"/>
  <c r="AV370" i="3"/>
  <c r="BP369" i="3"/>
  <c r="BO369" i="3"/>
  <c r="BN369" i="3"/>
  <c r="BM369" i="3"/>
  <c r="AX369" i="3"/>
  <c r="AW369" i="3"/>
  <c r="AV369" i="3"/>
  <c r="BP368" i="3"/>
  <c r="BO368" i="3"/>
  <c r="BN368" i="3"/>
  <c r="BM368" i="3"/>
  <c r="BL368" i="3"/>
  <c r="AX368" i="3"/>
  <c r="AW368" i="3"/>
  <c r="AV368" i="3"/>
  <c r="BP367" i="3"/>
  <c r="BO367" i="3"/>
  <c r="BN367" i="3"/>
  <c r="BM367" i="3"/>
  <c r="BL367" i="3"/>
  <c r="AX367" i="3"/>
  <c r="AW367" i="3"/>
  <c r="AV367" i="3"/>
  <c r="BP366" i="3"/>
  <c r="BO366" i="3"/>
  <c r="BN366" i="3"/>
  <c r="BM366" i="3"/>
  <c r="AX366" i="3"/>
  <c r="AW366" i="3"/>
  <c r="AV366" i="3"/>
  <c r="BP365" i="3"/>
  <c r="BO365" i="3"/>
  <c r="BN365" i="3"/>
  <c r="BM365" i="3"/>
  <c r="BL365" i="3"/>
  <c r="AX365" i="3"/>
  <c r="AW365" i="3"/>
  <c r="AV365" i="3"/>
  <c r="BP364" i="3"/>
  <c r="BO364" i="3"/>
  <c r="BN364" i="3"/>
  <c r="BM364" i="3"/>
  <c r="AX364" i="3"/>
  <c r="AW364" i="3"/>
  <c r="AV364" i="3"/>
  <c r="BP363" i="3"/>
  <c r="BO363" i="3"/>
  <c r="BN363" i="3"/>
  <c r="BM363" i="3"/>
  <c r="BL363" i="3"/>
  <c r="AX363" i="3"/>
  <c r="AW363" i="3"/>
  <c r="AV363" i="3"/>
  <c r="BP362" i="3"/>
  <c r="BO362" i="3"/>
  <c r="BN362" i="3"/>
  <c r="BM362" i="3"/>
  <c r="AX362" i="3"/>
  <c r="AW362" i="3"/>
  <c r="AV362" i="3"/>
  <c r="BP361" i="3"/>
  <c r="BO361" i="3"/>
  <c r="BN361" i="3"/>
  <c r="BM361" i="3"/>
  <c r="AX361" i="3"/>
  <c r="AW361" i="3"/>
  <c r="AV361" i="3"/>
  <c r="BP360" i="3"/>
  <c r="BO360" i="3"/>
  <c r="BN360" i="3"/>
  <c r="BM360" i="3"/>
  <c r="AX360" i="3"/>
  <c r="AW360" i="3"/>
  <c r="AV360" i="3"/>
  <c r="BP359" i="3"/>
  <c r="BO359" i="3"/>
  <c r="BN359" i="3"/>
  <c r="BM359" i="3"/>
  <c r="BL359" i="3"/>
  <c r="AX359" i="3"/>
  <c r="AW359" i="3"/>
  <c r="AV359" i="3"/>
  <c r="BP358" i="3"/>
  <c r="BO358" i="3"/>
  <c r="BN358" i="3"/>
  <c r="BM358" i="3"/>
  <c r="AX358" i="3"/>
  <c r="AW358" i="3"/>
  <c r="AV358" i="3"/>
  <c r="BP357" i="3"/>
  <c r="BO357" i="3"/>
  <c r="BN357" i="3"/>
  <c r="BM357" i="3"/>
  <c r="AX357" i="3"/>
  <c r="AW357" i="3"/>
  <c r="AV357" i="3"/>
  <c r="BP356" i="3"/>
  <c r="BO356" i="3"/>
  <c r="BN356" i="3"/>
  <c r="BM356" i="3"/>
  <c r="AX356" i="3"/>
  <c r="AW356" i="3"/>
  <c r="AV356" i="3"/>
  <c r="BP355" i="3"/>
  <c r="BO355" i="3"/>
  <c r="BN355" i="3"/>
  <c r="BM355" i="3"/>
  <c r="AX355" i="3"/>
  <c r="AW355" i="3"/>
  <c r="AV355" i="3"/>
  <c r="BP354" i="3"/>
  <c r="BO354" i="3"/>
  <c r="BN354" i="3"/>
  <c r="BM354" i="3"/>
  <c r="BL354" i="3"/>
  <c r="AX354" i="3"/>
  <c r="AW354" i="3"/>
  <c r="AV354" i="3"/>
  <c r="BP353" i="3"/>
  <c r="BO353" i="3"/>
  <c r="BN353" i="3"/>
  <c r="BM353" i="3"/>
  <c r="BL353" i="3"/>
  <c r="AX353" i="3"/>
  <c r="AW353" i="3"/>
  <c r="AV353" i="3"/>
  <c r="BP352" i="3"/>
  <c r="BO352" i="3"/>
  <c r="BN352" i="3"/>
  <c r="BM352" i="3"/>
  <c r="AX352" i="3"/>
  <c r="AW352" i="3"/>
  <c r="AV352" i="3"/>
  <c r="BP351" i="3"/>
  <c r="BO351" i="3"/>
  <c r="BN351" i="3"/>
  <c r="BM351" i="3"/>
  <c r="AX351" i="3"/>
  <c r="AW351" i="3"/>
  <c r="AV351" i="3"/>
  <c r="BP350" i="3"/>
  <c r="BO350" i="3"/>
  <c r="BN350" i="3"/>
  <c r="BM350" i="3"/>
  <c r="BL350" i="3"/>
  <c r="AX350" i="3"/>
  <c r="AW350" i="3"/>
  <c r="AV350" i="3"/>
  <c r="BP349" i="3"/>
  <c r="BO349" i="3"/>
  <c r="BN349" i="3"/>
  <c r="BM349" i="3"/>
  <c r="AX349" i="3"/>
  <c r="AW349" i="3"/>
  <c r="AV349" i="3"/>
  <c r="BP348" i="3"/>
  <c r="BO348" i="3"/>
  <c r="BN348" i="3"/>
  <c r="BM348" i="3"/>
  <c r="BL348" i="3"/>
  <c r="AX348" i="3"/>
  <c r="AW348" i="3"/>
  <c r="AV348" i="3"/>
  <c r="BP347" i="3"/>
  <c r="BO347" i="3"/>
  <c r="BN347" i="3"/>
  <c r="BM347" i="3"/>
  <c r="AX347" i="3"/>
  <c r="AW347" i="3"/>
  <c r="AV347" i="3"/>
  <c r="BP346" i="3"/>
  <c r="BO346" i="3"/>
  <c r="BN346" i="3"/>
  <c r="BM346" i="3"/>
  <c r="BL346" i="3"/>
  <c r="AX346" i="3"/>
  <c r="AW346" i="3"/>
  <c r="AV346" i="3"/>
  <c r="BP345" i="3"/>
  <c r="BO345" i="3"/>
  <c r="BN345" i="3"/>
  <c r="BM345" i="3"/>
  <c r="AX345" i="3"/>
  <c r="AW345" i="3"/>
  <c r="AV345" i="3"/>
  <c r="BP344" i="3"/>
  <c r="BO344" i="3"/>
  <c r="BN344" i="3"/>
  <c r="BM344" i="3"/>
  <c r="AX344" i="3"/>
  <c r="AW344" i="3"/>
  <c r="AV344" i="3"/>
  <c r="BP343" i="3"/>
  <c r="BO343" i="3"/>
  <c r="BN343" i="3"/>
  <c r="BM343" i="3"/>
  <c r="AX343" i="3"/>
  <c r="AW343" i="3"/>
  <c r="AV343" i="3"/>
  <c r="BP342" i="3"/>
  <c r="BO342" i="3"/>
  <c r="BN342" i="3"/>
  <c r="BM342" i="3"/>
  <c r="AX342" i="3"/>
  <c r="AW342" i="3"/>
  <c r="AV342" i="3"/>
  <c r="BP341" i="3"/>
  <c r="BO341" i="3"/>
  <c r="BN341" i="3"/>
  <c r="BM341" i="3"/>
  <c r="AX341" i="3"/>
  <c r="AW341" i="3"/>
  <c r="AV341" i="3"/>
  <c r="BP340" i="3"/>
  <c r="BO340" i="3"/>
  <c r="BN340" i="3"/>
  <c r="BM340" i="3"/>
  <c r="BL340" i="3"/>
  <c r="AX340" i="3"/>
  <c r="AW340" i="3"/>
  <c r="AV340" i="3"/>
  <c r="BP339" i="3"/>
  <c r="BO339" i="3"/>
  <c r="BN339" i="3"/>
  <c r="BM339" i="3"/>
  <c r="AX339" i="3"/>
  <c r="AW339" i="3"/>
  <c r="AV339" i="3"/>
  <c r="BP338" i="3"/>
  <c r="BO338" i="3"/>
  <c r="BN338" i="3"/>
  <c r="BM338" i="3"/>
  <c r="AX338" i="3"/>
  <c r="AW338" i="3"/>
  <c r="AV338" i="3"/>
  <c r="BP337" i="3"/>
  <c r="BO337" i="3"/>
  <c r="BN337" i="3"/>
  <c r="BM337" i="3"/>
  <c r="AX337" i="3"/>
  <c r="AW337" i="3"/>
  <c r="AV337" i="3"/>
  <c r="BP336" i="3"/>
  <c r="BO336" i="3"/>
  <c r="BN336" i="3"/>
  <c r="BM336" i="3"/>
  <c r="AX336" i="3"/>
  <c r="AW336" i="3"/>
  <c r="AV336" i="3"/>
  <c r="BP335" i="3"/>
  <c r="BO335" i="3"/>
  <c r="BN335" i="3"/>
  <c r="BM335" i="3"/>
  <c r="AX335" i="3"/>
  <c r="AW335" i="3"/>
  <c r="AV335" i="3"/>
  <c r="BP334" i="3"/>
  <c r="BO334" i="3"/>
  <c r="BN334" i="3"/>
  <c r="BM334" i="3"/>
  <c r="AX334" i="3"/>
  <c r="AW334" i="3"/>
  <c r="AV334" i="3"/>
  <c r="BP333" i="3"/>
  <c r="BO333" i="3"/>
  <c r="BN333" i="3"/>
  <c r="BM333" i="3"/>
  <c r="BL333" i="3"/>
  <c r="AX333" i="3"/>
  <c r="AW333" i="3"/>
  <c r="AV333" i="3"/>
  <c r="BP332" i="3"/>
  <c r="BO332" i="3"/>
  <c r="BN332" i="3"/>
  <c r="BM332" i="3"/>
  <c r="BL332" i="3"/>
  <c r="AZ332" i="3"/>
  <c r="AX332" i="3"/>
  <c r="AW332" i="3"/>
  <c r="AV332" i="3"/>
  <c r="BP331" i="3"/>
  <c r="BO331" i="3"/>
  <c r="BN331" i="3"/>
  <c r="BM331" i="3"/>
  <c r="AX331" i="3"/>
  <c r="AW331" i="3"/>
  <c r="AV331" i="3"/>
  <c r="BP330" i="3"/>
  <c r="BO330" i="3"/>
  <c r="BN330" i="3"/>
  <c r="BM330" i="3"/>
  <c r="BL330" i="3"/>
  <c r="AX330" i="3"/>
  <c r="AW330" i="3"/>
  <c r="AV330" i="3"/>
  <c r="BP329" i="3"/>
  <c r="BO329" i="3"/>
  <c r="BN329" i="3"/>
  <c r="BM329" i="3"/>
  <c r="AX329" i="3"/>
  <c r="AW329" i="3"/>
  <c r="AV329" i="3"/>
  <c r="BP328" i="3"/>
  <c r="BO328" i="3"/>
  <c r="BN328" i="3"/>
  <c r="BM328" i="3"/>
  <c r="BL328" i="3"/>
  <c r="AX328" i="3"/>
  <c r="AW328" i="3"/>
  <c r="AV328" i="3"/>
  <c r="BP327" i="3"/>
  <c r="BO327" i="3"/>
  <c r="BN327" i="3"/>
  <c r="BM327" i="3"/>
  <c r="AX327" i="3"/>
  <c r="AW327" i="3"/>
  <c r="AV327" i="3"/>
  <c r="BP326" i="3"/>
  <c r="BO326" i="3"/>
  <c r="BN326" i="3"/>
  <c r="BM326" i="3"/>
  <c r="AX326" i="3"/>
  <c r="AW326" i="3"/>
  <c r="AV326" i="3"/>
  <c r="BP325" i="3"/>
  <c r="BO325" i="3"/>
  <c r="BN325" i="3"/>
  <c r="BM325" i="3"/>
  <c r="AX325" i="3"/>
  <c r="AW325" i="3"/>
  <c r="AV325" i="3"/>
  <c r="BP324" i="3"/>
  <c r="BO324" i="3"/>
  <c r="BN324" i="3"/>
  <c r="BM324" i="3"/>
  <c r="BL324" i="3"/>
  <c r="AX324" i="3"/>
  <c r="AW324" i="3"/>
  <c r="AV324" i="3"/>
  <c r="BP323" i="3"/>
  <c r="BO323" i="3"/>
  <c r="BN323" i="3"/>
  <c r="BM323" i="3"/>
  <c r="AX323" i="3"/>
  <c r="AW323" i="3"/>
  <c r="AV323" i="3"/>
  <c r="BP322" i="3"/>
  <c r="BO322" i="3"/>
  <c r="BN322" i="3"/>
  <c r="BM322" i="3"/>
  <c r="AX322" i="3"/>
  <c r="AW322" i="3"/>
  <c r="AV322" i="3"/>
  <c r="BP321" i="3"/>
  <c r="BO321" i="3"/>
  <c r="BN321" i="3"/>
  <c r="BM321" i="3"/>
  <c r="AX321" i="3"/>
  <c r="AW321" i="3"/>
  <c r="AV321" i="3"/>
  <c r="BP320" i="3"/>
  <c r="BO320" i="3"/>
  <c r="BN320" i="3"/>
  <c r="BM320" i="3"/>
  <c r="AX320" i="3"/>
  <c r="AW320" i="3"/>
  <c r="AV320" i="3"/>
  <c r="BP319" i="3"/>
  <c r="BO319" i="3"/>
  <c r="BN319" i="3"/>
  <c r="BM319" i="3"/>
  <c r="AX319" i="3"/>
  <c r="AW319" i="3"/>
  <c r="AV319" i="3"/>
  <c r="BP318" i="3"/>
  <c r="BO318" i="3"/>
  <c r="BN318" i="3"/>
  <c r="BM318" i="3"/>
  <c r="AX318" i="3"/>
  <c r="AW318" i="3"/>
  <c r="AV318" i="3"/>
  <c r="BP317" i="3"/>
  <c r="BO317" i="3"/>
  <c r="BN317" i="3"/>
  <c r="BM317" i="3"/>
  <c r="BL317" i="3"/>
  <c r="AX317" i="3"/>
  <c r="AW317" i="3"/>
  <c r="AV317" i="3"/>
  <c r="BP316" i="3"/>
  <c r="BO316" i="3"/>
  <c r="BN316" i="3"/>
  <c r="BM316" i="3"/>
  <c r="BL316" i="3"/>
  <c r="AZ316" i="3"/>
  <c r="AX316" i="3"/>
  <c r="AW316" i="3"/>
  <c r="AV316" i="3"/>
  <c r="BP315" i="3"/>
  <c r="BO315" i="3"/>
  <c r="BN315" i="3"/>
  <c r="BM315" i="3"/>
  <c r="AX315" i="3"/>
  <c r="AW315" i="3"/>
  <c r="AV315" i="3"/>
  <c r="BP314" i="3"/>
  <c r="BO314" i="3"/>
  <c r="BN314" i="3"/>
  <c r="BM314" i="3"/>
  <c r="BL314" i="3"/>
  <c r="AX314" i="3"/>
  <c r="AW314" i="3"/>
  <c r="AV314" i="3"/>
  <c r="BP313" i="3"/>
  <c r="BO313" i="3"/>
  <c r="BN313" i="3"/>
  <c r="BM313" i="3"/>
  <c r="AX313" i="3"/>
  <c r="AW313" i="3"/>
  <c r="AV313" i="3"/>
  <c r="BP312" i="3"/>
  <c r="BO312" i="3"/>
  <c r="BN312" i="3"/>
  <c r="BM312" i="3"/>
  <c r="BL312" i="3"/>
  <c r="AX312" i="3"/>
  <c r="AW312" i="3"/>
  <c r="AV312" i="3"/>
  <c r="BP311" i="3"/>
  <c r="BO311" i="3"/>
  <c r="BN311" i="3"/>
  <c r="BM311" i="3"/>
  <c r="AX311" i="3"/>
  <c r="AW311" i="3"/>
  <c r="AV311" i="3"/>
  <c r="BP310" i="3"/>
  <c r="BO310" i="3"/>
  <c r="BN310" i="3"/>
  <c r="BM310" i="3"/>
  <c r="AX310" i="3"/>
  <c r="AW310" i="3"/>
  <c r="AV310" i="3"/>
  <c r="BP309" i="3"/>
  <c r="BO309" i="3"/>
  <c r="BN309" i="3"/>
  <c r="BM309" i="3"/>
  <c r="AX309" i="3"/>
  <c r="AW309" i="3"/>
  <c r="AV309" i="3"/>
  <c r="BP308" i="3"/>
  <c r="BO308" i="3"/>
  <c r="BN308" i="3"/>
  <c r="BM308" i="3"/>
  <c r="BL308" i="3"/>
  <c r="AX308" i="3"/>
  <c r="AW308" i="3"/>
  <c r="AV308" i="3"/>
  <c r="BP307" i="3"/>
  <c r="BO307" i="3"/>
  <c r="BN307" i="3"/>
  <c r="BM307" i="3"/>
  <c r="AX307" i="3"/>
  <c r="AW307" i="3"/>
  <c r="AV307" i="3"/>
  <c r="BP306" i="3"/>
  <c r="BO306" i="3"/>
  <c r="BN306" i="3"/>
  <c r="BM306" i="3"/>
  <c r="AX306" i="3"/>
  <c r="AW306" i="3"/>
  <c r="AV306" i="3"/>
  <c r="BP305" i="3"/>
  <c r="BO305" i="3"/>
  <c r="BN305" i="3"/>
  <c r="BM305" i="3"/>
  <c r="AX305" i="3"/>
  <c r="AW305" i="3"/>
  <c r="AV305" i="3"/>
  <c r="BP304" i="3"/>
  <c r="BO304" i="3"/>
  <c r="BN304" i="3"/>
  <c r="BM304" i="3"/>
  <c r="AX304" i="3"/>
  <c r="AW304" i="3"/>
  <c r="AV304" i="3"/>
  <c r="BP303" i="3"/>
  <c r="BO303" i="3"/>
  <c r="BN303" i="3"/>
  <c r="BM303" i="3"/>
  <c r="AX303" i="3"/>
  <c r="AW303" i="3"/>
  <c r="AV303" i="3"/>
  <c r="BP492" i="3"/>
  <c r="BO492" i="3"/>
  <c r="BN492" i="3"/>
  <c r="BM492" i="3"/>
  <c r="BL492" i="3"/>
  <c r="AZ492" i="3"/>
  <c r="AX492" i="3"/>
  <c r="AW492" i="3"/>
  <c r="AV492" i="3"/>
  <c r="BP491" i="3"/>
  <c r="BO491" i="3"/>
  <c r="BN491" i="3"/>
  <c r="BM491" i="3"/>
  <c r="BL491" i="3"/>
  <c r="AX491" i="3"/>
  <c r="AW491" i="3"/>
  <c r="AV491" i="3"/>
  <c r="BP490" i="3"/>
  <c r="BO490" i="3"/>
  <c r="BN490" i="3"/>
  <c r="BM490" i="3"/>
  <c r="BL490" i="3"/>
  <c r="AX490" i="3"/>
  <c r="AW490" i="3"/>
  <c r="AV490" i="3"/>
  <c r="BP489" i="3"/>
  <c r="BO489" i="3"/>
  <c r="BN489" i="3"/>
  <c r="BM489" i="3"/>
  <c r="BL489" i="3"/>
  <c r="AZ489" i="3"/>
  <c r="AX489" i="3"/>
  <c r="AW489" i="3"/>
  <c r="AV489" i="3"/>
  <c r="BP488" i="3"/>
  <c r="BO488" i="3"/>
  <c r="BN488" i="3"/>
  <c r="BM488" i="3"/>
  <c r="BL488" i="3"/>
  <c r="AZ488" i="3"/>
  <c r="AX488" i="3"/>
  <c r="AW488" i="3"/>
  <c r="AV488" i="3"/>
  <c r="BP487" i="3"/>
  <c r="BO487" i="3"/>
  <c r="BN487" i="3"/>
  <c r="BM487" i="3"/>
  <c r="BL487" i="3"/>
  <c r="AZ487" i="3"/>
  <c r="AX487" i="3"/>
  <c r="AW487" i="3"/>
  <c r="AV487" i="3"/>
  <c r="BP486" i="3"/>
  <c r="BO486" i="3"/>
  <c r="BN486" i="3"/>
  <c r="BM486" i="3"/>
  <c r="BL486" i="3"/>
  <c r="AZ486" i="3"/>
  <c r="AX486" i="3"/>
  <c r="AW486" i="3"/>
  <c r="AV486" i="3"/>
  <c r="BP485" i="3"/>
  <c r="BO485" i="3"/>
  <c r="BN485" i="3"/>
  <c r="BM485" i="3"/>
  <c r="BL485" i="3"/>
  <c r="AZ485" i="3"/>
  <c r="AX485" i="3"/>
  <c r="AW485" i="3"/>
  <c r="AV485" i="3"/>
  <c r="BP484" i="3"/>
  <c r="BO484" i="3"/>
  <c r="BN484" i="3"/>
  <c r="BM484" i="3"/>
  <c r="BL484" i="3"/>
  <c r="AZ484" i="3"/>
  <c r="AX484" i="3"/>
  <c r="AW484" i="3"/>
  <c r="AV484" i="3"/>
  <c r="BP483" i="3"/>
  <c r="BO483" i="3"/>
  <c r="BN483" i="3"/>
  <c r="BM483" i="3"/>
  <c r="BL483" i="3"/>
  <c r="AZ483" i="3"/>
  <c r="AX483" i="3"/>
  <c r="AW483" i="3"/>
  <c r="AV483" i="3"/>
  <c r="BP482" i="3"/>
  <c r="BO482" i="3"/>
  <c r="BN482" i="3"/>
  <c r="BM482" i="3"/>
  <c r="BL482" i="3"/>
  <c r="AZ482" i="3"/>
  <c r="AX482" i="3"/>
  <c r="AW482" i="3"/>
  <c r="AV482" i="3"/>
  <c r="BP481" i="3"/>
  <c r="BO481" i="3"/>
  <c r="BN481" i="3"/>
  <c r="BM481" i="3"/>
  <c r="BL481" i="3"/>
  <c r="AZ481" i="3"/>
  <c r="AX481" i="3"/>
  <c r="AW481" i="3"/>
  <c r="AV481" i="3"/>
  <c r="BP480" i="3"/>
  <c r="BO480" i="3"/>
  <c r="BN480" i="3"/>
  <c r="BM480" i="3"/>
  <c r="BL480" i="3"/>
  <c r="AZ480" i="3"/>
  <c r="AX480" i="3"/>
  <c r="AW480" i="3"/>
  <c r="AV480" i="3"/>
  <c r="BP479" i="3"/>
  <c r="BO479" i="3"/>
  <c r="BN479" i="3"/>
  <c r="BM479" i="3"/>
  <c r="BL479" i="3"/>
  <c r="AZ479" i="3"/>
  <c r="AX479" i="3"/>
  <c r="AW479" i="3"/>
  <c r="AV479" i="3"/>
  <c r="BP478" i="3"/>
  <c r="BO478" i="3"/>
  <c r="BN478" i="3"/>
  <c r="BM478" i="3"/>
  <c r="BL478" i="3"/>
  <c r="AZ478" i="3"/>
  <c r="AX478" i="3"/>
  <c r="AW478" i="3"/>
  <c r="AV478" i="3"/>
  <c r="BP477" i="3"/>
  <c r="BO477" i="3"/>
  <c r="BN477" i="3"/>
  <c r="BM477" i="3"/>
  <c r="BL477" i="3"/>
  <c r="AZ477" i="3"/>
  <c r="AX477" i="3"/>
  <c r="AW477" i="3"/>
  <c r="AV477" i="3"/>
  <c r="BP476" i="3"/>
  <c r="BO476" i="3"/>
  <c r="BN476" i="3"/>
  <c r="BM476" i="3"/>
  <c r="BL476" i="3"/>
  <c r="AZ476" i="3"/>
  <c r="AX476" i="3"/>
  <c r="AW476" i="3"/>
  <c r="AV476" i="3"/>
  <c r="BP475" i="3"/>
  <c r="BO475" i="3"/>
  <c r="BN475" i="3"/>
  <c r="BM475" i="3"/>
  <c r="BL475" i="3"/>
  <c r="AZ475" i="3"/>
  <c r="AX475" i="3"/>
  <c r="AW475" i="3"/>
  <c r="AV475" i="3"/>
  <c r="BP474" i="3"/>
  <c r="BO474" i="3"/>
  <c r="BN474" i="3"/>
  <c r="BM474" i="3"/>
  <c r="BL474" i="3"/>
  <c r="AZ474" i="3"/>
  <c r="AX474" i="3"/>
  <c r="AW474" i="3"/>
  <c r="AV474" i="3"/>
  <c r="BP473" i="3"/>
  <c r="BO473" i="3"/>
  <c r="BN473" i="3"/>
  <c r="BM473" i="3"/>
  <c r="BL473" i="3"/>
  <c r="AX473" i="3"/>
  <c r="AW473" i="3"/>
  <c r="AV473" i="3"/>
  <c r="BP472" i="3"/>
  <c r="BO472" i="3"/>
  <c r="BN472" i="3"/>
  <c r="BM472" i="3"/>
  <c r="BL472" i="3"/>
  <c r="AZ472" i="3"/>
  <c r="AX472" i="3"/>
  <c r="AW472" i="3"/>
  <c r="AV472" i="3"/>
  <c r="BP471" i="3"/>
  <c r="BO471" i="3"/>
  <c r="BN471" i="3"/>
  <c r="BM471" i="3"/>
  <c r="BL471" i="3"/>
  <c r="AZ471" i="3"/>
  <c r="AX471" i="3"/>
  <c r="AW471" i="3"/>
  <c r="AV471" i="3"/>
  <c r="BP470" i="3"/>
  <c r="BO470" i="3"/>
  <c r="BN470" i="3"/>
  <c r="BM470" i="3"/>
  <c r="BL470" i="3"/>
  <c r="AZ470" i="3"/>
  <c r="AX470" i="3"/>
  <c r="AW470" i="3"/>
  <c r="AV470" i="3"/>
  <c r="BP469" i="3"/>
  <c r="BO469" i="3"/>
  <c r="BN469" i="3"/>
  <c r="BM469" i="3"/>
  <c r="BL469" i="3"/>
  <c r="AZ469" i="3"/>
  <c r="AX469" i="3"/>
  <c r="AW469" i="3"/>
  <c r="AV469" i="3"/>
  <c r="BP468" i="3"/>
  <c r="BO468" i="3"/>
  <c r="BN468" i="3"/>
  <c r="BM468" i="3"/>
  <c r="BL468" i="3"/>
  <c r="AZ468" i="3"/>
  <c r="AX468" i="3"/>
  <c r="AW468" i="3"/>
  <c r="AV468" i="3"/>
  <c r="BP467" i="3"/>
  <c r="BO467" i="3"/>
  <c r="BN467" i="3"/>
  <c r="BM467" i="3"/>
  <c r="BL467" i="3"/>
  <c r="AZ467" i="3"/>
  <c r="AX467" i="3"/>
  <c r="AW467" i="3"/>
  <c r="AV467" i="3"/>
  <c r="BP466" i="3"/>
  <c r="BO466" i="3"/>
  <c r="BN466" i="3"/>
  <c r="BM466" i="3"/>
  <c r="BL466" i="3"/>
  <c r="AZ466" i="3"/>
  <c r="AX466" i="3"/>
  <c r="AW466" i="3"/>
  <c r="AV466" i="3"/>
  <c r="BP465" i="3"/>
  <c r="BO465" i="3"/>
  <c r="BN465" i="3"/>
  <c r="BM465" i="3"/>
  <c r="BL465" i="3"/>
  <c r="AX465" i="3"/>
  <c r="AW465" i="3"/>
  <c r="AV465" i="3"/>
  <c r="BP464" i="3"/>
  <c r="BO464" i="3"/>
  <c r="BN464" i="3"/>
  <c r="BM464" i="3"/>
  <c r="BL464" i="3"/>
  <c r="AZ464" i="3"/>
  <c r="AX464" i="3"/>
  <c r="AW464" i="3"/>
  <c r="AV464" i="3"/>
  <c r="BP463" i="3"/>
  <c r="BO463" i="3"/>
  <c r="BN463" i="3"/>
  <c r="BM463" i="3"/>
  <c r="BL463" i="3"/>
  <c r="AZ463" i="3"/>
  <c r="AX463" i="3"/>
  <c r="AW463" i="3"/>
  <c r="AV463" i="3"/>
  <c r="BP462" i="3"/>
  <c r="BO462" i="3"/>
  <c r="BN462" i="3"/>
  <c r="BM462" i="3"/>
  <c r="BL462" i="3"/>
  <c r="AZ462" i="3"/>
  <c r="AX462" i="3"/>
  <c r="AW462" i="3"/>
  <c r="AV462" i="3"/>
  <c r="BP461" i="3"/>
  <c r="BO461" i="3"/>
  <c r="BN461" i="3"/>
  <c r="BM461" i="3"/>
  <c r="BL461" i="3"/>
  <c r="AZ461" i="3"/>
  <c r="AX461" i="3"/>
  <c r="AW461" i="3"/>
  <c r="AV461" i="3"/>
  <c r="BP460" i="3"/>
  <c r="BO460" i="3"/>
  <c r="BN460" i="3"/>
  <c r="BM460" i="3"/>
  <c r="BL460" i="3"/>
  <c r="AZ460" i="3"/>
  <c r="AX460" i="3"/>
  <c r="AW460" i="3"/>
  <c r="AV460" i="3"/>
  <c r="BP459" i="3"/>
  <c r="BO459" i="3"/>
  <c r="BN459" i="3"/>
  <c r="BM459" i="3"/>
  <c r="BL459" i="3"/>
  <c r="AZ459" i="3"/>
  <c r="AX459" i="3"/>
  <c r="AW459" i="3"/>
  <c r="AV459" i="3"/>
  <c r="BP458" i="3"/>
  <c r="BO458" i="3"/>
  <c r="BN458" i="3"/>
  <c r="BM458" i="3"/>
  <c r="BL458" i="3"/>
  <c r="AZ458" i="3"/>
  <c r="AX458" i="3"/>
  <c r="AW458" i="3"/>
  <c r="AV458" i="3"/>
  <c r="BP457" i="3"/>
  <c r="BO457" i="3"/>
  <c r="BN457" i="3"/>
  <c r="BM457" i="3"/>
  <c r="BL457" i="3"/>
  <c r="AX457" i="3"/>
  <c r="AW457" i="3"/>
  <c r="AV457" i="3"/>
  <c r="BP456" i="3"/>
  <c r="BO456" i="3"/>
  <c r="BN456" i="3"/>
  <c r="BM456" i="3"/>
  <c r="BL456" i="3"/>
  <c r="AZ456" i="3"/>
  <c r="AX456" i="3"/>
  <c r="AW456" i="3"/>
  <c r="AV456" i="3"/>
  <c r="BP455" i="3"/>
  <c r="BO455" i="3"/>
  <c r="BN455" i="3"/>
  <c r="BM455" i="3"/>
  <c r="BL455" i="3"/>
  <c r="AZ455" i="3"/>
  <c r="AX455" i="3"/>
  <c r="AW455" i="3"/>
  <c r="AV455" i="3"/>
  <c r="BP454" i="3"/>
  <c r="BO454" i="3"/>
  <c r="BN454" i="3"/>
  <c r="BM454" i="3"/>
  <c r="BL454" i="3"/>
  <c r="AZ454" i="3"/>
  <c r="AX454" i="3"/>
  <c r="AW454" i="3"/>
  <c r="AV454" i="3"/>
  <c r="BP453" i="3"/>
  <c r="BO453" i="3"/>
  <c r="BN453" i="3"/>
  <c r="BM453" i="3"/>
  <c r="BL453" i="3"/>
  <c r="AZ453" i="3"/>
  <c r="AX453" i="3"/>
  <c r="AW453" i="3"/>
  <c r="AV453" i="3"/>
  <c r="BP452" i="3"/>
  <c r="BO452" i="3"/>
  <c r="BN452" i="3"/>
  <c r="BM452" i="3"/>
  <c r="BL452" i="3"/>
  <c r="AZ452" i="3"/>
  <c r="AX452" i="3"/>
  <c r="AW452" i="3"/>
  <c r="AV452" i="3"/>
  <c r="BP451" i="3"/>
  <c r="BO451" i="3"/>
  <c r="BN451" i="3"/>
  <c r="BM451" i="3"/>
  <c r="BL451" i="3"/>
  <c r="AZ451" i="3"/>
  <c r="AX451" i="3"/>
  <c r="AW451" i="3"/>
  <c r="AV451" i="3"/>
  <c r="BP450" i="3"/>
  <c r="BO450" i="3"/>
  <c r="BN450" i="3"/>
  <c r="BM450" i="3"/>
  <c r="BL450" i="3"/>
  <c r="AZ450" i="3"/>
  <c r="AX450" i="3"/>
  <c r="AW450" i="3"/>
  <c r="AV450" i="3"/>
  <c r="BP449" i="3"/>
  <c r="BO449" i="3"/>
  <c r="BN449" i="3"/>
  <c r="BM449" i="3"/>
  <c r="BL449" i="3"/>
  <c r="AZ449" i="3"/>
  <c r="AX449" i="3"/>
  <c r="AW449" i="3"/>
  <c r="AV449" i="3"/>
  <c r="BP448" i="3"/>
  <c r="BO448" i="3"/>
  <c r="BN448" i="3"/>
  <c r="BM448" i="3"/>
  <c r="BL448" i="3"/>
  <c r="AZ448" i="3"/>
  <c r="AX448" i="3"/>
  <c r="AW448" i="3"/>
  <c r="AV448" i="3"/>
  <c r="BP447" i="3"/>
  <c r="BO447" i="3"/>
  <c r="BN447" i="3"/>
  <c r="BM447" i="3"/>
  <c r="BL447" i="3"/>
  <c r="AZ447" i="3"/>
  <c r="AX447" i="3"/>
  <c r="AW447" i="3"/>
  <c r="AV447" i="3"/>
  <c r="BP446" i="3"/>
  <c r="BO446" i="3"/>
  <c r="BN446" i="3"/>
  <c r="BM446" i="3"/>
  <c r="BL446" i="3"/>
  <c r="AZ446" i="3"/>
  <c r="AX446" i="3"/>
  <c r="AW446" i="3"/>
  <c r="AV446" i="3"/>
  <c r="BP445" i="3"/>
  <c r="BO445" i="3"/>
  <c r="BN445" i="3"/>
  <c r="BM445" i="3"/>
  <c r="BL445" i="3"/>
  <c r="AZ445" i="3"/>
  <c r="AX445" i="3"/>
  <c r="AW445" i="3"/>
  <c r="AV445" i="3"/>
  <c r="BP444" i="3"/>
  <c r="BO444" i="3"/>
  <c r="BN444" i="3"/>
  <c r="BM444" i="3"/>
  <c r="BL444" i="3"/>
  <c r="AZ444" i="3"/>
  <c r="AX444" i="3"/>
  <c r="AW444" i="3"/>
  <c r="AV444" i="3"/>
  <c r="BP443" i="3"/>
  <c r="BO443" i="3"/>
  <c r="BN443" i="3"/>
  <c r="BM443" i="3"/>
  <c r="BL443" i="3"/>
  <c r="AZ443" i="3"/>
  <c r="AX443" i="3"/>
  <c r="AW443" i="3"/>
  <c r="AV443" i="3"/>
  <c r="BP442" i="3"/>
  <c r="BO442" i="3"/>
  <c r="BN442" i="3"/>
  <c r="BM442" i="3"/>
  <c r="BL442" i="3"/>
  <c r="AZ442" i="3"/>
  <c r="AX442" i="3"/>
  <c r="AW442" i="3"/>
  <c r="AV442" i="3"/>
  <c r="BP441" i="3"/>
  <c r="BO441" i="3"/>
  <c r="BN441" i="3"/>
  <c r="BM441" i="3"/>
  <c r="BL441" i="3"/>
  <c r="AX441" i="3"/>
  <c r="AW441" i="3"/>
  <c r="AV441" i="3"/>
  <c r="BP440" i="3"/>
  <c r="BO440" i="3"/>
  <c r="BN440" i="3"/>
  <c r="BM440" i="3"/>
  <c r="BL440" i="3"/>
  <c r="AZ440" i="3"/>
  <c r="AX440" i="3"/>
  <c r="AW440" i="3"/>
  <c r="AV440" i="3"/>
  <c r="BP439" i="3"/>
  <c r="BO439" i="3"/>
  <c r="BN439" i="3"/>
  <c r="BM439" i="3"/>
  <c r="BL439" i="3"/>
  <c r="AZ439" i="3"/>
  <c r="AX439" i="3"/>
  <c r="AW439" i="3"/>
  <c r="AV439" i="3"/>
  <c r="BP438" i="3"/>
  <c r="BO438" i="3"/>
  <c r="BN438" i="3"/>
  <c r="BM438" i="3"/>
  <c r="BL438" i="3"/>
  <c r="AZ438" i="3"/>
  <c r="AX438" i="3"/>
  <c r="AW438" i="3"/>
  <c r="AV438" i="3"/>
  <c r="BP437" i="3"/>
  <c r="BO437" i="3"/>
  <c r="BN437" i="3"/>
  <c r="BM437" i="3"/>
  <c r="BL437" i="3"/>
  <c r="AX437" i="3"/>
  <c r="AW437" i="3"/>
  <c r="AV437" i="3"/>
  <c r="BP436" i="3"/>
  <c r="BO436" i="3"/>
  <c r="BN436" i="3"/>
  <c r="BM436" i="3"/>
  <c r="BL436" i="3"/>
  <c r="AZ436" i="3"/>
  <c r="AX436" i="3"/>
  <c r="AW436" i="3"/>
  <c r="AV436" i="3"/>
  <c r="BP435" i="3"/>
  <c r="BO435" i="3"/>
  <c r="BN435" i="3"/>
  <c r="BM435" i="3"/>
  <c r="BL435" i="3"/>
  <c r="AZ435" i="3"/>
  <c r="AX435" i="3"/>
  <c r="AW435" i="3"/>
  <c r="AV435" i="3"/>
  <c r="BP434" i="3"/>
  <c r="BO434" i="3"/>
  <c r="BN434" i="3"/>
  <c r="BM434" i="3"/>
  <c r="BL434" i="3"/>
  <c r="AZ434" i="3"/>
  <c r="AX434" i="3"/>
  <c r="AW434" i="3"/>
  <c r="AV434" i="3"/>
  <c r="BP433" i="3"/>
  <c r="BO433" i="3"/>
  <c r="BN433" i="3"/>
  <c r="BM433" i="3"/>
  <c r="BL433" i="3"/>
  <c r="AX433" i="3"/>
  <c r="AW433" i="3"/>
  <c r="AV433" i="3"/>
  <c r="BP432" i="3"/>
  <c r="BO432" i="3"/>
  <c r="BN432" i="3"/>
  <c r="BM432" i="3"/>
  <c r="BL432" i="3"/>
  <c r="AZ432" i="3"/>
  <c r="AX432" i="3"/>
  <c r="AW432" i="3"/>
  <c r="AV432" i="3"/>
  <c r="BP431" i="3"/>
  <c r="BO431" i="3"/>
  <c r="BN431" i="3"/>
  <c r="BM431" i="3"/>
  <c r="BL431" i="3"/>
  <c r="AZ431" i="3"/>
  <c r="AX431" i="3"/>
  <c r="AW431" i="3"/>
  <c r="AV431" i="3"/>
  <c r="BP430" i="3"/>
  <c r="BO430" i="3"/>
  <c r="BN430" i="3"/>
  <c r="BM430" i="3"/>
  <c r="BL430" i="3"/>
  <c r="AZ430" i="3"/>
  <c r="AX430" i="3"/>
  <c r="AW430" i="3"/>
  <c r="AV430" i="3"/>
  <c r="BP429" i="3"/>
  <c r="BO429" i="3"/>
  <c r="BN429" i="3"/>
  <c r="BM429" i="3"/>
  <c r="BL429" i="3"/>
  <c r="AZ429" i="3"/>
  <c r="AX429" i="3"/>
  <c r="AW429" i="3"/>
  <c r="AV429" i="3"/>
  <c r="BP428" i="3"/>
  <c r="BO428" i="3"/>
  <c r="BN428" i="3"/>
  <c r="BM428" i="3"/>
  <c r="BL428" i="3"/>
  <c r="AX428" i="3"/>
  <c r="AW428" i="3"/>
  <c r="AV428" i="3"/>
  <c r="BP427" i="3"/>
  <c r="BO427" i="3"/>
  <c r="BN427" i="3"/>
  <c r="BM427" i="3"/>
  <c r="BL427" i="3"/>
  <c r="AZ427" i="3"/>
  <c r="AX427" i="3"/>
  <c r="AW427" i="3"/>
  <c r="AV427" i="3"/>
  <c r="BP426" i="3"/>
  <c r="BO426" i="3"/>
  <c r="BN426" i="3"/>
  <c r="BM426" i="3"/>
  <c r="BL426" i="3"/>
  <c r="AZ426" i="3"/>
  <c r="AX426" i="3"/>
  <c r="AW426" i="3"/>
  <c r="AV426" i="3"/>
  <c r="BP425" i="3"/>
  <c r="BO425" i="3"/>
  <c r="BN425" i="3"/>
  <c r="BM425" i="3"/>
  <c r="BL425" i="3"/>
  <c r="AZ425" i="3"/>
  <c r="AX425" i="3"/>
  <c r="AW425" i="3"/>
  <c r="AV425" i="3"/>
  <c r="BP424" i="3"/>
  <c r="BO424" i="3"/>
  <c r="BN424" i="3"/>
  <c r="BM424" i="3"/>
  <c r="BL424" i="3"/>
  <c r="AZ424" i="3"/>
  <c r="AX424" i="3"/>
  <c r="AW424" i="3"/>
  <c r="AV424" i="3"/>
  <c r="BP423" i="3"/>
  <c r="BO423" i="3"/>
  <c r="BN423" i="3"/>
  <c r="BM423" i="3"/>
  <c r="BL423" i="3"/>
  <c r="AZ423" i="3"/>
  <c r="AX423" i="3"/>
  <c r="AW423" i="3"/>
  <c r="AV423" i="3"/>
  <c r="BP422" i="3"/>
  <c r="BO422" i="3"/>
  <c r="BN422" i="3"/>
  <c r="BM422" i="3"/>
  <c r="BL422" i="3"/>
  <c r="AZ422" i="3"/>
  <c r="AX422" i="3"/>
  <c r="AW422" i="3"/>
  <c r="AV422" i="3"/>
  <c r="BP421" i="3"/>
  <c r="BO421" i="3"/>
  <c r="BN421" i="3"/>
  <c r="BM421" i="3"/>
  <c r="BL421" i="3"/>
  <c r="AZ421" i="3"/>
  <c r="AX421" i="3"/>
  <c r="AW421" i="3"/>
  <c r="AV421" i="3"/>
  <c r="BP420" i="3"/>
  <c r="BO420" i="3"/>
  <c r="BN420" i="3"/>
  <c r="BM420" i="3"/>
  <c r="BL420" i="3"/>
  <c r="AZ420" i="3"/>
  <c r="AX420" i="3"/>
  <c r="AW420" i="3"/>
  <c r="AV420" i="3"/>
  <c r="BP419" i="3"/>
  <c r="BO419" i="3"/>
  <c r="BN419" i="3"/>
  <c r="BM419" i="3"/>
  <c r="BL419" i="3"/>
  <c r="AZ419" i="3"/>
  <c r="AX419" i="3"/>
  <c r="AW419" i="3"/>
  <c r="AV419" i="3"/>
  <c r="BP418" i="3"/>
  <c r="BO418" i="3"/>
  <c r="BN418" i="3"/>
  <c r="BM418" i="3"/>
  <c r="BL418" i="3"/>
  <c r="AZ418" i="3"/>
  <c r="AX418" i="3"/>
  <c r="AW418" i="3"/>
  <c r="AV418" i="3"/>
  <c r="BP417" i="3"/>
  <c r="BO417" i="3"/>
  <c r="BN417" i="3"/>
  <c r="BM417" i="3"/>
  <c r="BL417" i="3"/>
  <c r="AX417" i="3"/>
  <c r="AW417" i="3"/>
  <c r="AV417" i="3"/>
  <c r="BP416" i="3"/>
  <c r="BO416" i="3"/>
  <c r="BN416" i="3"/>
  <c r="BM416" i="3"/>
  <c r="BL416" i="3"/>
  <c r="AZ416" i="3"/>
  <c r="AX416" i="3"/>
  <c r="AW416" i="3"/>
  <c r="AV416" i="3"/>
  <c r="BP415" i="3"/>
  <c r="BO415" i="3"/>
  <c r="BN415" i="3"/>
  <c r="BM415" i="3"/>
  <c r="BL415" i="3"/>
  <c r="AZ415" i="3"/>
  <c r="AX415" i="3"/>
  <c r="AW415" i="3"/>
  <c r="AV415" i="3"/>
  <c r="BP414" i="3"/>
  <c r="BO414" i="3"/>
  <c r="BN414" i="3"/>
  <c r="BM414" i="3"/>
  <c r="BL414" i="3"/>
  <c r="AZ414" i="3"/>
  <c r="AX414" i="3"/>
  <c r="AW414" i="3"/>
  <c r="AV414" i="3"/>
  <c r="BP413" i="3"/>
  <c r="BO413" i="3"/>
  <c r="BN413" i="3"/>
  <c r="BM413" i="3"/>
  <c r="BL413" i="3"/>
  <c r="AZ413" i="3"/>
  <c r="AX413" i="3"/>
  <c r="AW413" i="3"/>
  <c r="AV413" i="3"/>
  <c r="BP412" i="3"/>
  <c r="BO412" i="3"/>
  <c r="BN412" i="3"/>
  <c r="BM412" i="3"/>
  <c r="BL412" i="3"/>
  <c r="AX412" i="3"/>
  <c r="AW412" i="3"/>
  <c r="AV412" i="3"/>
  <c r="BP411" i="3"/>
  <c r="BO411" i="3"/>
  <c r="BN411" i="3"/>
  <c r="BM411" i="3"/>
  <c r="BL411" i="3"/>
  <c r="AZ411" i="3"/>
  <c r="AX411" i="3"/>
  <c r="AW411" i="3"/>
  <c r="AV411" i="3"/>
  <c r="BP410" i="3"/>
  <c r="BO410" i="3"/>
  <c r="BN410" i="3"/>
  <c r="BM410" i="3"/>
  <c r="BL410" i="3"/>
  <c r="AZ410" i="3"/>
  <c r="AX410" i="3"/>
  <c r="AW410" i="3"/>
  <c r="AV410" i="3"/>
  <c r="BP409" i="3"/>
  <c r="BO409" i="3"/>
  <c r="BN409" i="3"/>
  <c r="BM409" i="3"/>
  <c r="BL409" i="3"/>
  <c r="AZ409" i="3"/>
  <c r="AX409" i="3"/>
  <c r="AW409" i="3"/>
  <c r="AV409" i="3"/>
  <c r="BP408" i="3"/>
  <c r="BO408" i="3"/>
  <c r="BN408" i="3"/>
  <c r="BM408" i="3"/>
  <c r="BL408" i="3"/>
  <c r="AX408" i="3"/>
  <c r="AW408" i="3"/>
  <c r="AV408" i="3"/>
  <c r="BP407" i="3"/>
  <c r="BO407" i="3"/>
  <c r="BN407" i="3"/>
  <c r="BM407" i="3"/>
  <c r="BL407" i="3"/>
  <c r="AZ407" i="3"/>
  <c r="AX407" i="3"/>
  <c r="AW407" i="3"/>
  <c r="AV407" i="3"/>
  <c r="BP406" i="3"/>
  <c r="BO406" i="3"/>
  <c r="BN406" i="3"/>
  <c r="BM406" i="3"/>
  <c r="BL406" i="3"/>
  <c r="AZ406" i="3"/>
  <c r="AX406" i="3"/>
  <c r="AW406" i="3"/>
  <c r="AV406" i="3"/>
  <c r="BP405" i="3"/>
  <c r="BO405" i="3"/>
  <c r="BN405" i="3"/>
  <c r="BM405" i="3"/>
  <c r="BL405" i="3"/>
  <c r="AZ405" i="3"/>
  <c r="AX405" i="3"/>
  <c r="AW405" i="3"/>
  <c r="AV405" i="3"/>
  <c r="BP404" i="3"/>
  <c r="BO404" i="3"/>
  <c r="BN404" i="3"/>
  <c r="BM404" i="3"/>
  <c r="BL404" i="3"/>
  <c r="AZ404" i="3"/>
  <c r="AX404" i="3"/>
  <c r="AW404" i="3"/>
  <c r="AV404" i="3"/>
  <c r="BP403" i="3"/>
  <c r="BO403" i="3"/>
  <c r="BN403" i="3"/>
  <c r="BM403" i="3"/>
  <c r="BL403" i="3"/>
  <c r="AZ403" i="3"/>
  <c r="AX403" i="3"/>
  <c r="AW403" i="3"/>
  <c r="AV403" i="3"/>
  <c r="BP402" i="3"/>
  <c r="BO402" i="3"/>
  <c r="BN402" i="3"/>
  <c r="BM402" i="3"/>
  <c r="BL402" i="3"/>
  <c r="AZ402" i="3"/>
  <c r="AX402" i="3"/>
  <c r="AW402" i="3"/>
  <c r="AV402" i="3"/>
  <c r="BP401" i="3"/>
  <c r="BO401" i="3"/>
  <c r="BN401" i="3"/>
  <c r="BM401" i="3"/>
  <c r="BL401" i="3"/>
  <c r="AX401" i="3"/>
  <c r="AW401" i="3"/>
  <c r="AV401" i="3"/>
  <c r="BP400" i="3"/>
  <c r="BO400" i="3"/>
  <c r="BN400" i="3"/>
  <c r="BM400" i="3"/>
  <c r="BL400" i="3"/>
  <c r="AZ400" i="3"/>
  <c r="AX400" i="3"/>
  <c r="AW400" i="3"/>
  <c r="AV400" i="3"/>
  <c r="BP399" i="3"/>
  <c r="BO399" i="3"/>
  <c r="BN399" i="3"/>
  <c r="BM399" i="3"/>
  <c r="BL399" i="3"/>
  <c r="AZ399" i="3"/>
  <c r="AX399" i="3"/>
  <c r="AW399" i="3"/>
  <c r="AV399" i="3"/>
  <c r="BP398" i="3"/>
  <c r="BO398" i="3"/>
  <c r="BN398" i="3"/>
  <c r="BM398" i="3"/>
  <c r="BL398" i="3"/>
  <c r="AZ398"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B43" i="1"/>
  <c r="D78" i="9"/>
  <c r="BM14" i="3"/>
  <c r="BM15" i="3"/>
  <c r="BN15" i="3"/>
  <c r="BO15" i="3"/>
  <c r="BP15" i="3"/>
  <c r="BL15" i="3"/>
  <c r="BM16" i="3"/>
  <c r="BM17" i="3"/>
  <c r="BO13" i="3"/>
  <c r="BO14" i="3"/>
  <c r="BO16" i="3"/>
  <c r="BO17" i="3"/>
  <c r="BN13" i="3"/>
  <c r="BN14" i="3"/>
  <c r="BN16" i="3"/>
  <c r="BN17" i="3"/>
  <c r="BP13" i="3"/>
  <c r="BP14" i="3"/>
  <c r="BP16" i="3"/>
  <c r="BP17" i="3"/>
  <c r="K8" i="1"/>
  <c r="M8" i="1"/>
  <c r="F23" i="15"/>
  <c r="D24" i="15"/>
  <c r="K10" i="1"/>
  <c r="M10" i="1"/>
  <c r="O10" i="1"/>
  <c r="P10" i="1"/>
  <c r="BC10" i="3"/>
  <c r="BD10" i="3"/>
  <c r="BB10" i="3"/>
  <c r="BL16"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O520" i="3"/>
  <c r="BP520" i="3"/>
  <c r="BM521" i="3"/>
  <c r="BN521" i="3"/>
  <c r="BO521" i="3"/>
  <c r="BP521" i="3"/>
  <c r="BM522" i="3"/>
  <c r="BN522" i="3"/>
  <c r="BO522" i="3"/>
  <c r="BP522" i="3"/>
  <c r="BM523" i="3"/>
  <c r="BN523" i="3"/>
  <c r="BO523" i="3"/>
  <c r="BP523" i="3"/>
  <c r="BM524" i="3"/>
  <c r="BN524" i="3"/>
  <c r="BO524" i="3"/>
  <c r="BP524" i="3"/>
  <c r="BM525" i="3"/>
  <c r="BN525" i="3"/>
  <c r="BO525" i="3"/>
  <c r="BP525" i="3"/>
  <c r="BM526" i="3"/>
  <c r="BN526" i="3"/>
  <c r="BO526" i="3"/>
  <c r="BP526" i="3"/>
  <c r="BM527" i="3"/>
  <c r="BN527" i="3"/>
  <c r="BO527" i="3"/>
  <c r="BP527" i="3"/>
  <c r="BM528" i="3"/>
  <c r="BN528" i="3"/>
  <c r="BO528" i="3"/>
  <c r="BP528" i="3"/>
  <c r="BM529" i="3"/>
  <c r="BN529" i="3"/>
  <c r="BO529" i="3"/>
  <c r="BP529" i="3"/>
  <c r="BM530" i="3"/>
  <c r="BN530" i="3"/>
  <c r="BO530" i="3"/>
  <c r="BP530" i="3"/>
  <c r="BM531" i="3"/>
  <c r="BN531" i="3"/>
  <c r="BO531" i="3"/>
  <c r="BP531" i="3"/>
  <c r="BM532" i="3"/>
  <c r="BN532" i="3"/>
  <c r="BO532" i="3"/>
  <c r="BP532" i="3"/>
  <c r="BM533" i="3"/>
  <c r="BN533" i="3"/>
  <c r="BO533" i="3"/>
  <c r="BP533" i="3"/>
  <c r="BM534" i="3"/>
  <c r="BN534" i="3"/>
  <c r="BO534" i="3"/>
  <c r="BP534" i="3"/>
  <c r="BM535" i="3"/>
  <c r="BN535" i="3"/>
  <c r="BO535" i="3"/>
  <c r="BP535" i="3"/>
  <c r="BM536" i="3"/>
  <c r="BN536" i="3"/>
  <c r="BO536" i="3"/>
  <c r="BP536" i="3"/>
  <c r="BM537" i="3"/>
  <c r="BN537" i="3"/>
  <c r="BO537" i="3"/>
  <c r="BP537" i="3"/>
  <c r="BM538" i="3"/>
  <c r="BN538" i="3"/>
  <c r="BO538" i="3"/>
  <c r="BP538" i="3"/>
  <c r="BM539" i="3"/>
  <c r="BN539" i="3"/>
  <c r="BO539" i="3"/>
  <c r="BP539" i="3"/>
  <c r="BM540" i="3"/>
  <c r="BN540" i="3"/>
  <c r="BO540" i="3"/>
  <c r="BP540" i="3"/>
  <c r="BM541" i="3"/>
  <c r="BN541" i="3"/>
  <c r="BO541" i="3"/>
  <c r="BP541" i="3"/>
  <c r="BM542" i="3"/>
  <c r="BN542" i="3"/>
  <c r="BO542" i="3"/>
  <c r="BP542" i="3"/>
  <c r="BM543" i="3"/>
  <c r="BN543" i="3"/>
  <c r="BO543" i="3"/>
  <c r="BP543" i="3"/>
  <c r="BM544" i="3"/>
  <c r="BN544" i="3"/>
  <c r="BO544" i="3"/>
  <c r="BP544" i="3"/>
  <c r="BM545" i="3"/>
  <c r="BN545" i="3"/>
  <c r="BO545" i="3"/>
  <c r="BP545" i="3"/>
  <c r="BM546" i="3"/>
  <c r="BN546" i="3"/>
  <c r="BO546" i="3"/>
  <c r="BP546" i="3"/>
  <c r="BM547" i="3"/>
  <c r="BN547" i="3"/>
  <c r="BO547" i="3"/>
  <c r="BP547" i="3"/>
  <c r="BM548" i="3"/>
  <c r="BN548" i="3"/>
  <c r="BO548" i="3"/>
  <c r="BP548" i="3"/>
  <c r="BL548" i="3"/>
  <c r="AZ548" i="3"/>
  <c r="BM549" i="3"/>
  <c r="BN549" i="3"/>
  <c r="BO549" i="3"/>
  <c r="BP549" i="3"/>
  <c r="BM550" i="3"/>
  <c r="BN550" i="3"/>
  <c r="BO550" i="3"/>
  <c r="BP550" i="3"/>
  <c r="BL550" i="3"/>
  <c r="BM551" i="3"/>
  <c r="BN551" i="3"/>
  <c r="BO551" i="3"/>
  <c r="BP551" i="3"/>
  <c r="BM552" i="3"/>
  <c r="BN552" i="3"/>
  <c r="BO552" i="3"/>
  <c r="BP552" i="3"/>
  <c r="BM553" i="3"/>
  <c r="BN553" i="3"/>
  <c r="BO553" i="3"/>
  <c r="BP553" i="3"/>
  <c r="BM554" i="3"/>
  <c r="BN554" i="3"/>
  <c r="BO554" i="3"/>
  <c r="BP554" i="3"/>
  <c r="BM555" i="3"/>
  <c r="BN555" i="3"/>
  <c r="BO555" i="3"/>
  <c r="BP555" i="3"/>
  <c r="BM556" i="3"/>
  <c r="BN556" i="3"/>
  <c r="BO556" i="3"/>
  <c r="BP556" i="3"/>
  <c r="BM557" i="3"/>
  <c r="BN557" i="3"/>
  <c r="BO557" i="3"/>
  <c r="BP557" i="3"/>
  <c r="BM558" i="3"/>
  <c r="BN558" i="3"/>
  <c r="BO558" i="3"/>
  <c r="BP558" i="3"/>
  <c r="BM559" i="3"/>
  <c r="BN559" i="3"/>
  <c r="BO559" i="3"/>
  <c r="BP559" i="3"/>
  <c r="BM560" i="3"/>
  <c r="BN560" i="3"/>
  <c r="BO560" i="3"/>
  <c r="BP560" i="3"/>
  <c r="BM561" i="3"/>
  <c r="BN561" i="3"/>
  <c r="BO561" i="3"/>
  <c r="BP561" i="3"/>
  <c r="BM562" i="3"/>
  <c r="BN562" i="3"/>
  <c r="BO562" i="3"/>
  <c r="BP562" i="3"/>
  <c r="BM563" i="3"/>
  <c r="BN563" i="3"/>
  <c r="BO563" i="3"/>
  <c r="BP563" i="3"/>
  <c r="BM564" i="3"/>
  <c r="BN564" i="3"/>
  <c r="BO564" i="3"/>
  <c r="BP564" i="3"/>
  <c r="BM565" i="3"/>
  <c r="BN565" i="3"/>
  <c r="BO565" i="3"/>
  <c r="BP565" i="3"/>
  <c r="BM566" i="3"/>
  <c r="BN566" i="3"/>
  <c r="BO566" i="3"/>
  <c r="BP566" i="3"/>
  <c r="BM567" i="3"/>
  <c r="BN567" i="3"/>
  <c r="BO567" i="3"/>
  <c r="BP567" i="3"/>
  <c r="BM568" i="3"/>
  <c r="BN568" i="3"/>
  <c r="BO568" i="3"/>
  <c r="BP568" i="3"/>
  <c r="BM569" i="3"/>
  <c r="BN569" i="3"/>
  <c r="BO569" i="3"/>
  <c r="BP569" i="3"/>
  <c r="BM570" i="3"/>
  <c r="BN570" i="3"/>
  <c r="BO570" i="3"/>
  <c r="BP570" i="3"/>
  <c r="BM571" i="3"/>
  <c r="BN571" i="3"/>
  <c r="BO571" i="3"/>
  <c r="BP571" i="3"/>
  <c r="BM572" i="3"/>
  <c r="BN572" i="3"/>
  <c r="BO572" i="3"/>
  <c r="BP572" i="3"/>
  <c r="BM573" i="3"/>
  <c r="BN573" i="3"/>
  <c r="BO573" i="3"/>
  <c r="BP573" i="3"/>
  <c r="BM574" i="3"/>
  <c r="BN574" i="3"/>
  <c r="BO574" i="3"/>
  <c r="BP574" i="3"/>
  <c r="BM575" i="3"/>
  <c r="BN575" i="3"/>
  <c r="BO575" i="3"/>
  <c r="BP575" i="3"/>
  <c r="BM576" i="3"/>
  <c r="BN576" i="3"/>
  <c r="BO576" i="3"/>
  <c r="BP576" i="3"/>
  <c r="BM577" i="3"/>
  <c r="BN577" i="3"/>
  <c r="BO577" i="3"/>
  <c r="BP577" i="3"/>
  <c r="BM578" i="3"/>
  <c r="BN578" i="3"/>
  <c r="BO578" i="3"/>
  <c r="BP578" i="3"/>
  <c r="BM579" i="3"/>
  <c r="BN579" i="3"/>
  <c r="BO579" i="3"/>
  <c r="BP579" i="3"/>
  <c r="BM580" i="3"/>
  <c r="BN580" i="3"/>
  <c r="BO580" i="3"/>
  <c r="BP580" i="3"/>
  <c r="BM581" i="3"/>
  <c r="BN581" i="3"/>
  <c r="BO581" i="3"/>
  <c r="BP581" i="3"/>
  <c r="BM582" i="3"/>
  <c r="BN582" i="3"/>
  <c r="BO582" i="3"/>
  <c r="BP582" i="3"/>
  <c r="BM583" i="3"/>
  <c r="BN583" i="3"/>
  <c r="BO583" i="3"/>
  <c r="BP583" i="3"/>
  <c r="BM584" i="3"/>
  <c r="BN584" i="3"/>
  <c r="BO584" i="3"/>
  <c r="BP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585" i="3"/>
  <c r="BN585" i="3"/>
  <c r="BO585" i="3"/>
  <c r="BP585" i="3"/>
  <c r="BL585" i="3"/>
  <c r="AZ585" i="3"/>
  <c r="BM586" i="3"/>
  <c r="BN586" i="3"/>
  <c r="BO586" i="3"/>
  <c r="BP586" i="3"/>
  <c r="BL586" i="3"/>
  <c r="BM587" i="3"/>
  <c r="BN587" i="3"/>
  <c r="BO587" i="3"/>
  <c r="BP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F17" i="21"/>
  <c r="AA17" i="21"/>
  <c r="H17" i="21"/>
  <c r="AB17" i="21"/>
  <c r="F15" i="21"/>
  <c r="S15" i="21"/>
  <c r="J41" i="39"/>
  <c r="W41" i="39"/>
  <c r="AC45"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AZ582" i="3"/>
  <c r="AZ580" i="3"/>
  <c r="AZ578" i="3"/>
  <c r="AZ576" i="3"/>
  <c r="AZ574" i="3"/>
  <c r="AZ572" i="3"/>
  <c r="AZ570" i="3"/>
  <c r="AZ568" i="3"/>
  <c r="AZ566" i="3"/>
  <c r="AZ564" i="3"/>
  <c r="AZ562" i="3"/>
  <c r="BL558" i="3"/>
  <c r="AZ558" i="3"/>
  <c r="AZ556" i="3"/>
  <c r="AZ554" i="3"/>
  <c r="AZ552" i="3"/>
  <c r="AZ544" i="3"/>
  <c r="AZ542" i="3"/>
  <c r="AZ540" i="3"/>
  <c r="AZ538" i="3"/>
  <c r="AZ536" i="3"/>
  <c r="AZ534" i="3"/>
  <c r="AZ532" i="3"/>
  <c r="AZ528" i="3"/>
  <c r="AZ526" i="3"/>
  <c r="AZ524" i="3"/>
  <c r="AZ518" i="3"/>
  <c r="AZ516" i="3"/>
  <c r="AZ512" i="3"/>
  <c r="AZ510" i="3"/>
  <c r="AZ504" i="3"/>
  <c r="AZ498" i="3"/>
  <c r="AZ587" i="3"/>
  <c r="BL581" i="3"/>
  <c r="AZ581" i="3"/>
  <c r="AZ560" i="3"/>
  <c r="BL557" i="3"/>
  <c r="AZ557" i="3"/>
  <c r="BL583" i="3"/>
  <c r="AZ583" i="3"/>
  <c r="BL579" i="3"/>
  <c r="AZ579" i="3"/>
  <c r="BL577" i="3"/>
  <c r="AZ577" i="3"/>
  <c r="BL575" i="3"/>
  <c r="AZ575" i="3"/>
  <c r="BL573" i="3"/>
  <c r="AZ573" i="3"/>
  <c r="BL571" i="3"/>
  <c r="AZ571" i="3"/>
  <c r="BL569" i="3"/>
  <c r="AZ569" i="3"/>
  <c r="BL567" i="3"/>
  <c r="AZ567" i="3"/>
  <c r="BL565" i="3"/>
  <c r="AZ565" i="3"/>
  <c r="BL563" i="3"/>
  <c r="BL561" i="3"/>
  <c r="AZ561" i="3"/>
  <c r="BL559" i="3"/>
  <c r="AZ559" i="3"/>
  <c r="BL555" i="3"/>
  <c r="AZ555" i="3"/>
  <c r="BL553" i="3"/>
  <c r="AZ553" i="3"/>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L520" i="3"/>
  <c r="AZ520" i="3"/>
  <c r="BL519" i="3"/>
  <c r="AZ519" i="3"/>
  <c r="BL517" i="3"/>
  <c r="AZ517" i="3"/>
  <c r="BL515" i="3"/>
  <c r="AZ515" i="3"/>
  <c r="BL513" i="3"/>
  <c r="AZ513" i="3"/>
  <c r="BL511" i="3"/>
  <c r="AZ511" i="3"/>
  <c r="BL509" i="3"/>
  <c r="BL508" i="3"/>
  <c r="AZ508" i="3"/>
  <c r="BL507" i="3"/>
  <c r="AZ507" i="3"/>
  <c r="BL505" i="3"/>
  <c r="AZ505" i="3"/>
  <c r="BL503" i="3"/>
  <c r="AZ503" i="3"/>
  <c r="BL501" i="3"/>
  <c r="BL499" i="3"/>
  <c r="BL497" i="3"/>
  <c r="BL495" i="3"/>
  <c r="AZ495"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BL304" i="3"/>
  <c r="BL306" i="3"/>
  <c r="AZ308" i="3"/>
  <c r="BL309" i="3"/>
  <c r="BL320" i="3"/>
  <c r="BL322" i="3"/>
  <c r="AZ324" i="3"/>
  <c r="BL325" i="3"/>
  <c r="BL336" i="3"/>
  <c r="BL338" i="3"/>
  <c r="AZ340" i="3"/>
  <c r="BL341" i="3"/>
  <c r="BL355" i="3"/>
  <c r="BL357" i="3"/>
  <c r="AZ359" i="3"/>
  <c r="BL360" i="3"/>
  <c r="BL362" i="3"/>
  <c r="AZ362" i="3"/>
  <c r="BL371" i="3"/>
  <c r="BL373" i="3"/>
  <c r="AZ375" i="3"/>
  <c r="BL376" i="3"/>
  <c r="BL378" i="3"/>
  <c r="AZ378" i="3"/>
  <c r="BL389" i="3"/>
  <c r="BL391" i="3"/>
  <c r="AZ393" i="3"/>
  <c r="BL394" i="3"/>
  <c r="AZ115" i="3"/>
  <c r="BL116" i="3"/>
  <c r="AZ116" i="3"/>
  <c r="AZ119" i="3"/>
  <c r="BL120" i="3"/>
  <c r="AZ123" i="3"/>
  <c r="BL124" i="3"/>
  <c r="AZ124" i="3"/>
  <c r="AZ127" i="3"/>
  <c r="BL128" i="3"/>
  <c r="AZ131" i="3"/>
  <c r="BL132" i="3"/>
  <c r="AZ132" i="3"/>
  <c r="AZ135" i="3"/>
  <c r="BL136" i="3"/>
  <c r="AZ139" i="3"/>
  <c r="BL140" i="3"/>
  <c r="AZ140" i="3"/>
  <c r="AZ143" i="3"/>
  <c r="BL144" i="3"/>
  <c r="AZ147" i="3"/>
  <c r="BL148" i="3"/>
  <c r="AZ148" i="3"/>
  <c r="AZ151" i="3"/>
  <c r="BL152" i="3"/>
  <c r="AZ155" i="3"/>
  <c r="BL156" i="3"/>
  <c r="AZ156" i="3"/>
  <c r="AZ159" i="3"/>
  <c r="BL160" i="3"/>
  <c r="AZ163" i="3"/>
  <c r="BL164" i="3"/>
  <c r="AZ164" i="3"/>
  <c r="AZ167" i="3"/>
  <c r="BL168" i="3"/>
  <c r="AZ171" i="3"/>
  <c r="BL172" i="3"/>
  <c r="AZ172" i="3"/>
  <c r="AZ175" i="3"/>
  <c r="BL176" i="3"/>
  <c r="AZ179" i="3"/>
  <c r="BL180" i="3"/>
  <c r="AZ180" i="3"/>
  <c r="AZ183" i="3"/>
  <c r="BL184" i="3"/>
  <c r="AZ187" i="3"/>
  <c r="BL188" i="3"/>
  <c r="AZ188" i="3"/>
  <c r="AZ191" i="3"/>
  <c r="BL192" i="3"/>
  <c r="AZ195" i="3"/>
  <c r="BL196" i="3"/>
  <c r="AZ196" i="3"/>
  <c r="AZ199" i="3"/>
  <c r="BL200"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304" i="3"/>
  <c r="BL305" i="3"/>
  <c r="AZ305" i="3"/>
  <c r="BL310" i="3"/>
  <c r="AZ312" i="3"/>
  <c r="BL313" i="3"/>
  <c r="AZ313" i="3"/>
  <c r="BL318" i="3"/>
  <c r="AZ320" i="3"/>
  <c r="BL321" i="3"/>
  <c r="AZ321" i="3"/>
  <c r="BL326" i="3"/>
  <c r="AZ328" i="3"/>
  <c r="BL329" i="3"/>
  <c r="AZ329" i="3"/>
  <c r="BL334" i="3"/>
  <c r="AZ336" i="3"/>
  <c r="BL337" i="3"/>
  <c r="AZ337" i="3"/>
  <c r="BL342" i="3"/>
  <c r="AZ342" i="3"/>
  <c r="BL344" i="3"/>
  <c r="AZ344" i="3"/>
  <c r="AZ346" i="3"/>
  <c r="BL347" i="3"/>
  <c r="AZ347" i="3"/>
  <c r="BL351" i="3"/>
  <c r="AZ351" i="3"/>
  <c r="AZ355" i="3"/>
  <c r="BL356" i="3"/>
  <c r="BL361" i="3"/>
  <c r="AZ363" i="3"/>
  <c r="BL364" i="3"/>
  <c r="BL369" i="3"/>
  <c r="AZ371" i="3"/>
  <c r="BL372" i="3"/>
  <c r="AZ372" i="3"/>
  <c r="BL377" i="3"/>
  <c r="BL379" i="3"/>
  <c r="AZ381" i="3"/>
  <c r="BL382" i="3"/>
  <c r="BL387" i="3"/>
  <c r="AZ389" i="3"/>
  <c r="BL390" i="3"/>
  <c r="AZ138" i="3"/>
  <c r="AZ142" i="3"/>
  <c r="AZ146" i="3"/>
  <c r="AZ150" i="3"/>
  <c r="AZ154" i="3"/>
  <c r="AZ158" i="3"/>
  <c r="AZ162" i="3"/>
  <c r="AZ166" i="3"/>
  <c r="AZ170" i="3"/>
  <c r="AZ174" i="3"/>
  <c r="AZ178" i="3"/>
  <c r="AZ182" i="3"/>
  <c r="AZ186" i="3"/>
  <c r="AZ190" i="3"/>
  <c r="AZ194" i="3"/>
  <c r="AZ198" i="3"/>
  <c r="AZ202" i="3"/>
  <c r="AZ206" i="3"/>
  <c r="AZ500" i="3"/>
  <c r="AZ16" i="3"/>
  <c r="BL303" i="3"/>
  <c r="AZ306" i="3"/>
  <c r="BL307" i="3"/>
  <c r="AZ307" i="3"/>
  <c r="AZ310" i="3"/>
  <c r="BL311" i="3"/>
  <c r="AZ311" i="3"/>
  <c r="AZ314" i="3"/>
  <c r="BL315" i="3"/>
  <c r="AZ315" i="3"/>
  <c r="AZ318" i="3"/>
  <c r="BL319" i="3"/>
  <c r="AZ322" i="3"/>
  <c r="BL323" i="3"/>
  <c r="AZ323" i="3"/>
  <c r="AZ326" i="3"/>
  <c r="BL327" i="3"/>
  <c r="AZ327" i="3"/>
  <c r="AZ330" i="3"/>
  <c r="BL331" i="3"/>
  <c r="AZ331" i="3"/>
  <c r="AZ334" i="3"/>
  <c r="BL335" i="3"/>
  <c r="AZ338" i="3"/>
  <c r="BL339" i="3"/>
  <c r="AZ339" i="3"/>
  <c r="BL343" i="3"/>
  <c r="AZ209" i="3"/>
  <c r="AZ214" i="3"/>
  <c r="AZ218" i="3"/>
  <c r="AZ222" i="3"/>
  <c r="AZ303" i="3"/>
  <c r="AZ319" i="3"/>
  <c r="AZ335" i="3"/>
  <c r="BL345" i="3"/>
  <c r="AZ345" i="3"/>
  <c r="AZ348" i="3"/>
  <c r="BL349" i="3"/>
  <c r="AZ349" i="3"/>
  <c r="BL352" i="3"/>
  <c r="AZ357" i="3"/>
  <c r="BL358" i="3"/>
  <c r="AZ358" i="3"/>
  <c r="AZ361" i="3"/>
  <c r="AZ365" i="3"/>
  <c r="BL366" i="3"/>
  <c r="AZ366" i="3"/>
  <c r="AZ369" i="3"/>
  <c r="BL370" i="3"/>
  <c r="AZ373" i="3"/>
  <c r="BL374" i="3"/>
  <c r="AZ374" i="3"/>
  <c r="AZ377" i="3"/>
  <c r="AZ229" i="3"/>
  <c r="AZ233" i="3"/>
  <c r="AZ237" i="3"/>
  <c r="AZ241" i="3"/>
  <c r="AZ245" i="3"/>
  <c r="AZ249" i="3"/>
  <c r="AZ253" i="3"/>
  <c r="AZ257" i="3"/>
  <c r="AZ261" i="3"/>
  <c r="AZ265" i="3"/>
  <c r="AZ269" i="3"/>
  <c r="AZ273" i="3"/>
  <c r="AZ370" i="3"/>
  <c r="AZ379" i="3"/>
  <c r="BL380" i="3"/>
  <c r="AZ383" i="3"/>
  <c r="BL384" i="3"/>
  <c r="AZ387" i="3"/>
  <c r="BL388" i="3"/>
  <c r="AZ391" i="3"/>
  <c r="BL392" i="3"/>
  <c r="AZ263" i="3"/>
  <c r="AZ275" i="3"/>
  <c r="AZ279" i="3"/>
  <c r="AZ283" i="3"/>
  <c r="AZ287" i="3"/>
  <c r="AZ291" i="3"/>
  <c r="AZ295" i="3"/>
  <c r="AZ299" i="3"/>
  <c r="BO5" i="3"/>
  <c r="BM5" i="3"/>
  <c r="F29" i="6"/>
  <c r="BJ5" i="3"/>
  <c r="BH5" i="3"/>
  <c r="BF5" i="3"/>
  <c r="BD5" i="3"/>
  <c r="AZ309" i="3"/>
  <c r="AZ317" i="3"/>
  <c r="AZ325" i="3"/>
  <c r="AZ333" i="3"/>
  <c r="AZ341" i="3"/>
  <c r="AC5" i="3"/>
  <c r="AZ549" i="3"/>
  <c r="AZ506" i="3"/>
  <c r="AZ496" i="3"/>
  <c r="BP5" i="3"/>
  <c r="BN5" i="3"/>
  <c r="AZ343" i="3"/>
  <c r="BK5" i="3"/>
  <c r="BI5" i="3"/>
  <c r="BG5" i="3"/>
  <c r="BE5" i="3"/>
  <c r="BC5" i="3"/>
  <c r="AZ350" i="3"/>
  <c r="AZ352" i="3"/>
  <c r="AZ356" i="3"/>
  <c r="AZ360" i="3"/>
  <c r="AZ364" i="3"/>
  <c r="AZ368" i="3"/>
  <c r="AZ15" i="3"/>
  <c r="BB5" i="3"/>
  <c r="AZ380" i="3"/>
  <c r="AZ384" i="3"/>
  <c r="AZ388" i="3"/>
  <c r="AZ392" i="3"/>
  <c r="AZ396" i="3"/>
  <c r="AZ394" i="3"/>
  <c r="AZ499" i="3"/>
  <c r="AZ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E85" i="21"/>
  <c r="F23" i="21"/>
  <c r="S23" i="21"/>
  <c r="AA14" i="21"/>
  <c r="D120" i="9"/>
  <c r="D121" i="9"/>
  <c r="D7" i="52"/>
  <c r="C18" i="9"/>
  <c r="D18" i="9"/>
  <c r="F34" i="67"/>
  <c r="F62" i="67"/>
  <c r="M20" i="67"/>
  <c r="F34" i="15"/>
  <c r="F62" i="15"/>
  <c r="E510" i="3"/>
  <c r="BL17" i="3"/>
  <c r="AZ17" i="3"/>
  <c r="BL13" i="3"/>
  <c r="BL5" i="3"/>
  <c r="J56" i="9"/>
  <c r="J57" i="9"/>
  <c r="J59" i="9"/>
  <c r="J61" i="9"/>
  <c r="A24" i="51"/>
  <c r="B18" i="72"/>
  <c r="U29" i="34"/>
  <c r="E5" i="6"/>
  <c r="E32" i="6"/>
  <c r="G1" i="68"/>
  <c r="K1" i="12"/>
  <c r="E19" i="69"/>
  <c r="E19" i="68"/>
  <c r="E19" i="11"/>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K11" i="1"/>
  <c r="M11" i="1"/>
  <c r="O11"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F40" i="67"/>
  <c r="F37" i="67"/>
  <c r="F43" i="67"/>
  <c r="F7" i="15"/>
  <c r="M26" i="67"/>
  <c r="E7" i="76"/>
  <c r="AO13" i="1"/>
  <c r="F8" i="67"/>
  <c r="F6" i="67"/>
  <c r="F43" i="15"/>
  <c r="M24" i="15"/>
  <c r="B10" i="76"/>
  <c r="L47" i="67"/>
  <c r="F37" i="15"/>
  <c r="F26" i="67"/>
  <c r="D35" i="9"/>
  <c r="F42" i="67"/>
  <c r="L47" i="15"/>
  <c r="M28" i="67"/>
  <c r="E13" i="76"/>
  <c r="F5" i="73"/>
  <c r="E9" i="76"/>
  <c r="L48" i="15"/>
  <c r="M6" i="15"/>
  <c r="M6" i="67"/>
  <c r="C76" i="15"/>
  <c r="M8" i="67"/>
  <c r="B8" i="76"/>
  <c r="F9" i="67"/>
  <c r="M23" i="15"/>
  <c r="B9" i="76"/>
  <c r="P6" i="1"/>
  <c r="P8" i="1"/>
  <c r="P9" i="1"/>
  <c r="P11" i="1"/>
  <c r="P12" i="1"/>
  <c r="P14" i="1"/>
  <c r="P16" i="1"/>
  <c r="C11" i="12"/>
  <c r="C12" i="12"/>
  <c r="C13" i="12"/>
  <c r="AZ13" i="3"/>
  <c r="AZ5" i="3"/>
  <c r="E3" i="6"/>
  <c r="D14" i="12"/>
  <c r="F11" i="12"/>
  <c r="C14" i="12"/>
  <c r="C15" i="12"/>
  <c r="C16" i="12"/>
  <c r="D17" i="12"/>
  <c r="C17" i="12"/>
  <c r="D19" i="12"/>
  <c r="C19" i="12"/>
  <c r="E6" i="6"/>
  <c r="D20" i="12"/>
  <c r="C20" i="12"/>
  <c r="C18" i="12"/>
  <c r="C21" i="12"/>
  <c r="C22" i="12"/>
  <c r="C4" i="12"/>
  <c r="C23" i="12"/>
  <c r="F25" i="12"/>
  <c r="C27" i="12"/>
  <c r="C25" i="12"/>
  <c r="Q16" i="1"/>
  <c r="F28" i="12"/>
  <c r="C30" i="12"/>
  <c r="C28" i="12"/>
  <c r="C26" i="12"/>
  <c r="D25" i="12"/>
  <c r="C29" i="12"/>
  <c r="D28" i="12"/>
  <c r="C31" i="12"/>
  <c r="C32" i="12"/>
  <c r="B2" i="12"/>
  <c r="C9" i="69"/>
  <c r="C10" i="69"/>
  <c r="C8" i="69"/>
  <c r="M6" i="1"/>
  <c r="K14" i="1"/>
  <c r="M14" i="1"/>
  <c r="M16" i="1"/>
  <c r="N16" i="1"/>
  <c r="F50" i="69"/>
  <c r="B2" i="21"/>
  <c r="D19" i="9"/>
  <c r="F42" i="15"/>
  <c r="F7" i="67"/>
  <c r="J15" i="67"/>
  <c r="F8" i="15"/>
  <c r="E2" i="68"/>
  <c r="B7" i="76"/>
  <c r="E8" i="76"/>
  <c r="F9" i="15"/>
  <c r="J15" i="15"/>
  <c r="M28" i="15"/>
  <c r="E11" i="76"/>
  <c r="D3" i="73"/>
  <c r="F26" i="15"/>
  <c r="F7" i="73"/>
  <c r="E10" i="76"/>
  <c r="B12" i="76"/>
  <c r="M23" i="67"/>
  <c r="M24" i="67"/>
  <c r="F36" i="67"/>
  <c r="F40" i="15"/>
  <c r="M8" i="15"/>
  <c r="F16" i="67"/>
  <c r="M29" i="15"/>
  <c r="L48" i="67"/>
  <c r="B11" i="76"/>
  <c r="M26" i="15"/>
  <c r="B3" i="12"/>
  <c r="F36" i="15"/>
  <c r="D4" i="73"/>
  <c r="F20" i="31"/>
  <c r="F16" i="15"/>
  <c r="F6" i="73"/>
  <c r="F3" i="73"/>
  <c r="D7" i="73"/>
  <c r="E12" i="76"/>
  <c r="F6" i="15"/>
  <c r="D3" i="21"/>
  <c r="AA7" i="21"/>
  <c r="AA11" i="21"/>
  <c r="AB37" i="21"/>
  <c r="AB7" i="21"/>
  <c r="AB8" i="21"/>
  <c r="AB11" i="21"/>
  <c r="AC37" i="21"/>
  <c r="AC7" i="21"/>
  <c r="AC11" i="21"/>
  <c r="AC32" i="21"/>
  <c r="M29" i="67"/>
  <c r="D34" i="9"/>
  <c r="F13" i="67"/>
  <c r="C76" i="67"/>
  <c r="M9" i="15"/>
  <c r="F13" i="15"/>
  <c r="M22" i="15"/>
  <c r="E2" i="69"/>
  <c r="F38" i="15"/>
  <c r="F38" i="67"/>
  <c r="M9" i="67"/>
  <c r="F4" i="73"/>
  <c r="B13" i="76"/>
  <c r="M22" i="67"/>
  <c r="H83" i="43"/>
  <c r="D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94" i="9"/>
  <c r="C92" i="9"/>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K16" i="1"/>
  <c r="D9" i="11"/>
  <c r="C9" i="11"/>
  <c r="O9" i="1"/>
  <c r="O12" i="1"/>
  <c r="O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C6" i="67"/>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N59" i="67"/>
  <c r="L59" i="67"/>
  <c r="L58" i="67"/>
  <c r="M59" i="67"/>
  <c r="B13" i="70"/>
  <c r="M7" i="67"/>
  <c r="J6" i="67"/>
  <c r="F50" i="67"/>
  <c r="F68" i="67"/>
  <c r="F64" i="67"/>
  <c r="F68" i="15"/>
  <c r="C36" i="68"/>
  <c r="D9" i="68"/>
  <c r="C16" i="15"/>
  <c r="C16" i="67"/>
  <c r="E61" i="43"/>
  <c r="B59" i="43"/>
  <c r="C28" i="43"/>
  <c r="B116" i="43"/>
  <c r="Z7" i="43"/>
  <c r="E30" i="6"/>
  <c r="E56" i="39"/>
  <c r="H7" i="34"/>
  <c r="AB7" i="34"/>
  <c r="T49" i="34"/>
  <c r="G49" i="34"/>
  <c r="E67" i="39"/>
  <c r="J7" i="34"/>
  <c r="W7" i="34"/>
  <c r="F7" i="34"/>
  <c r="S7" i="34"/>
  <c r="AA26" i="35"/>
  <c r="S26" i="35"/>
  <c r="AC26" i="35"/>
  <c r="W26" i="35"/>
  <c r="AB26" i="35"/>
  <c r="U26" i="35"/>
  <c r="E61" i="39"/>
  <c r="E56" i="40"/>
  <c r="C9" i="68"/>
  <c r="E72" i="43"/>
  <c r="B70" i="43"/>
  <c r="F45" i="69"/>
  <c r="F27" i="11"/>
  <c r="C29" i="11"/>
  <c r="D27" i="11"/>
  <c r="E60" i="40"/>
  <c r="K26" i="6"/>
  <c r="M26" i="6"/>
  <c r="I26" i="6"/>
  <c r="S26" i="6"/>
  <c r="F31" i="6"/>
  <c r="E51" i="40"/>
  <c r="E16" i="6"/>
  <c r="AC6" i="3"/>
  <c r="H6" i="3"/>
  <c r="E58" i="40"/>
  <c r="E62" i="39"/>
  <c r="E65" i="39"/>
  <c r="AY6" i="3"/>
  <c r="D5" i="43"/>
  <c r="D26" i="43"/>
  <c r="C25" i="43"/>
  <c r="C7" i="43"/>
  <c r="C5" i="43"/>
  <c r="D10" i="52"/>
  <c r="D125" i="9"/>
  <c r="D11" i="52"/>
  <c r="F67" i="39"/>
  <c r="E69" i="39"/>
  <c r="F59" i="67"/>
  <c r="H7" i="37"/>
  <c r="AB7" i="37"/>
  <c r="T42" i="37"/>
  <c r="G42" i="37"/>
  <c r="L36" i="43"/>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K21" i="6"/>
  <c r="S8" i="1"/>
  <c r="E8" i="70"/>
  <c r="F45" i="68"/>
  <c r="C47" i="68"/>
  <c r="D45" i="68"/>
  <c r="C29" i="68"/>
  <c r="D27" i="68"/>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c r="B1" i="74"/>
  <c r="D3" i="34"/>
  <c r="D19" i="11"/>
  <c r="C19" i="11"/>
  <c r="M19" i="6"/>
  <c r="I19" i="6"/>
  <c r="L18" i="9"/>
  <c r="C17" i="4"/>
  <c r="B4" i="52"/>
  <c r="B43" i="72"/>
  <c r="D3" i="33"/>
  <c r="D3" i="37"/>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J24" i="67"/>
  <c r="C53" i="67"/>
  <c r="C48" i="67"/>
  <c r="C10" i="67"/>
  <c r="C5" i="67"/>
  <c r="C38" i="67"/>
  <c r="C53" i="15"/>
  <c r="C48" i="15"/>
  <c r="C66" i="15"/>
  <c r="C10" i="15"/>
  <c r="C5" i="15"/>
  <c r="C38" i="15"/>
  <c r="F41" i="69"/>
  <c r="F24" i="67"/>
  <c r="C24" i="67"/>
  <c r="F22" i="11"/>
  <c r="F22" i="68"/>
  <c r="F24" i="15"/>
  <c r="C24" i="15"/>
  <c r="M27" i="67"/>
  <c r="F41" i="15"/>
  <c r="M27" i="15"/>
  <c r="P37" i="43"/>
  <c r="M37" i="43"/>
  <c r="Q37" i="43"/>
  <c r="O37" i="43"/>
  <c r="N37" i="43"/>
  <c r="M21" i="6"/>
  <c r="I21" i="6"/>
  <c r="S21" i="6"/>
  <c r="E6" i="70"/>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0" i="11"/>
  <c r="C10" i="11"/>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L16" i="1"/>
  <c r="H67" i="39"/>
  <c r="G69" i="39"/>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44" i="68"/>
  <c r="D41" i="68"/>
  <c r="C23" i="68"/>
  <c r="C26" i="68"/>
  <c r="D22" i="68"/>
  <c r="C44" i="11"/>
  <c r="D41" i="11"/>
  <c r="C23" i="11"/>
  <c r="C24" i="11"/>
  <c r="C25" i="11"/>
  <c r="C26" i="11"/>
  <c r="D22" i="11"/>
  <c r="C66" i="67"/>
  <c r="C60" i="67"/>
  <c r="D10" i="68"/>
  <c r="C14" i="67"/>
  <c r="C17" i="67"/>
  <c r="C17" i="15"/>
  <c r="C18" i="67"/>
  <c r="C15" i="67"/>
  <c r="H23" i="6"/>
  <c r="H20" i="6"/>
  <c r="R20" i="6"/>
  <c r="R7" i="1"/>
  <c r="E12" i="70"/>
  <c r="F34" i="1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D8" i="74"/>
  <c r="D7" i="74"/>
  <c r="R21" i="6"/>
  <c r="R8" i="1"/>
  <c r="F50" i="11"/>
  <c r="F50" i="68"/>
  <c r="C4" i="52"/>
  <c r="B45" i="72"/>
  <c r="A10" i="51"/>
  <c r="B9" i="72"/>
  <c r="A7" i="51"/>
  <c r="B7" i="72"/>
  <c r="D21" i="9"/>
  <c r="R25" i="6"/>
  <c r="R12" i="1"/>
  <c r="C10" i="68"/>
  <c r="D19" i="68"/>
  <c r="H69" i="39"/>
  <c r="I67" i="39"/>
  <c r="D10" i="71"/>
  <c r="C9" i="71"/>
  <c r="C8" i="71"/>
  <c r="G65" i="40"/>
  <c r="H63" i="40"/>
  <c r="C43" i="37"/>
  <c r="C42" i="37"/>
  <c r="I48" i="35"/>
  <c r="C48" i="33"/>
  <c r="C49" i="33"/>
  <c r="H58" i="21"/>
  <c r="E47" i="37"/>
  <c r="F47" i="37"/>
  <c r="E46" i="37"/>
  <c r="F46" i="37"/>
  <c r="I47" i="37"/>
  <c r="J47" i="37"/>
  <c r="E53" i="33"/>
  <c r="F53" i="33"/>
  <c r="E52" i="33"/>
  <c r="F52" i="33"/>
  <c r="C33" i="15"/>
  <c r="C22" i="11"/>
  <c r="C31" i="11"/>
  <c r="C33" i="67"/>
  <c r="J19" i="67"/>
  <c r="C34" i="68"/>
  <c r="C14" i="15"/>
  <c r="D8" i="71"/>
  <c r="C7" i="71"/>
  <c r="C19" i="67"/>
  <c r="C20" i="67"/>
  <c r="C26" i="67"/>
  <c r="T16" i="1"/>
  <c r="C18" i="15"/>
  <c r="C15" i="15"/>
  <c r="C38" i="68"/>
  <c r="C35" i="68"/>
  <c r="C36" i="11"/>
  <c r="C37" i="11"/>
  <c r="C34" i="11"/>
  <c r="S19" i="6"/>
  <c r="S27" i="6"/>
  <c r="I27" i="6"/>
  <c r="C19" i="68"/>
  <c r="D37" i="68"/>
  <c r="C37" i="68"/>
  <c r="I5" i="6"/>
  <c r="I6" i="6"/>
  <c r="I69" i="39"/>
  <c r="J67" i="39"/>
  <c r="D9" i="71"/>
  <c r="I63" i="40"/>
  <c r="H65" i="40"/>
  <c r="I58" i="21"/>
  <c r="J58" i="21"/>
  <c r="K58" i="21"/>
  <c r="L58" i="21"/>
  <c r="M58" i="21"/>
  <c r="N58" i="21"/>
  <c r="O58" i="21"/>
  <c r="J48" i="35"/>
  <c r="D7" i="71"/>
  <c r="C6" i="71"/>
  <c r="C23" i="67"/>
  <c r="C29" i="67"/>
  <c r="J59" i="67"/>
  <c r="J60" i="67"/>
  <c r="Q48" i="67"/>
  <c r="C19" i="15"/>
  <c r="C20" i="15"/>
  <c r="C26" i="15"/>
  <c r="C33" i="68"/>
  <c r="C39" i="68"/>
  <c r="C38" i="11"/>
  <c r="C35" i="11"/>
  <c r="H27" i="6"/>
  <c r="R19" i="6"/>
  <c r="C20" i="68"/>
  <c r="C28" i="68"/>
  <c r="C27" i="68"/>
  <c r="C24" i="68"/>
  <c r="J69" i="39"/>
  <c r="K67" i="39"/>
  <c r="U7" i="21"/>
  <c r="G48" i="21"/>
  <c r="S7" i="21"/>
  <c r="J63" i="40"/>
  <c r="I65" i="40"/>
  <c r="K48" i="35"/>
  <c r="L48" i="35"/>
  <c r="M48" i="35"/>
  <c r="N48" i="35"/>
  <c r="O48" i="35"/>
  <c r="H7" i="35"/>
  <c r="J7" i="35"/>
  <c r="I48" i="21"/>
  <c r="W7" i="21"/>
  <c r="D6" i="71"/>
  <c r="C5" i="71"/>
  <c r="Q49" i="67"/>
  <c r="J14" i="67"/>
  <c r="J13" i="67"/>
  <c r="J23" i="67"/>
  <c r="C36" i="67"/>
  <c r="C57" i="67"/>
  <c r="C64" i="67"/>
  <c r="C13" i="67"/>
  <c r="Q70" i="67"/>
  <c r="C33" i="11"/>
  <c r="C39" i="11"/>
  <c r="C61" i="67"/>
  <c r="C42" i="68"/>
  <c r="C23" i="15"/>
  <c r="C29" i="15"/>
  <c r="R27" i="6"/>
  <c r="R6" i="1"/>
  <c r="C25" i="68"/>
  <c r="C22" i="68"/>
  <c r="C31" i="68"/>
  <c r="C46" i="68"/>
  <c r="C45" i="68"/>
  <c r="C43" i="68"/>
  <c r="L67" i="39"/>
  <c r="K69" i="39"/>
  <c r="W7" i="35"/>
  <c r="AC7" i="35"/>
  <c r="V38" i="35"/>
  <c r="I38" i="35"/>
  <c r="J65" i="40"/>
  <c r="K63" i="40"/>
  <c r="I52" i="21"/>
  <c r="J52" i="21"/>
  <c r="U7" i="35"/>
  <c r="AB7" i="35"/>
  <c r="T38" i="35"/>
  <c r="G38" i="35"/>
  <c r="E48" i="21"/>
  <c r="G52" i="21"/>
  <c r="H52" i="21"/>
  <c r="G53" i="21"/>
  <c r="H53" i="21"/>
  <c r="F7" i="35"/>
  <c r="F35" i="67"/>
  <c r="M21" i="15"/>
  <c r="M21" i="67"/>
  <c r="F35" i="15"/>
  <c r="D5" i="71"/>
  <c r="M24" i="43"/>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L69" i="39"/>
  <c r="M67" i="39"/>
  <c r="S7" i="35"/>
  <c r="AA7" i="35"/>
  <c r="R38" i="35"/>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8"/>
  <c r="C56" i="68"/>
  <c r="M69" i="39"/>
  <c r="N67" i="39"/>
  <c r="R39" i="35"/>
  <c r="E38" i="35"/>
  <c r="M63" i="40"/>
  <c r="L65" i="40"/>
  <c r="D2" i="21"/>
  <c r="L51" i="67"/>
  <c r="L57" i="67"/>
  <c r="L60" i="67"/>
  <c r="L46" i="67"/>
  <c r="Q67" i="67"/>
  <c r="C80" i="67"/>
  <c r="C79" i="67"/>
  <c r="C40" i="67"/>
  <c r="C45" i="67"/>
  <c r="C56" i="11"/>
  <c r="C57" i="11"/>
  <c r="J16" i="15"/>
  <c r="J25" i="15"/>
  <c r="J26" i="15"/>
  <c r="J29" i="15"/>
  <c r="C58" i="15"/>
  <c r="C67" i="15"/>
  <c r="C68" i="15"/>
  <c r="C71" i="15"/>
  <c r="C30" i="15"/>
  <c r="C39" i="15"/>
  <c r="Q69" i="15"/>
  <c r="Q68" i="15"/>
  <c r="O67" i="39"/>
  <c r="O69" i="39"/>
  <c r="N69" i="39"/>
  <c r="C39" i="35"/>
  <c r="C38" i="35"/>
  <c r="N63" i="40"/>
  <c r="M65" i="40"/>
  <c r="E43" i="35"/>
  <c r="F43" i="35"/>
  <c r="E42" i="35"/>
  <c r="F42" i="35"/>
  <c r="I43" i="35"/>
  <c r="J43" i="35"/>
  <c r="D2" i="33"/>
  <c r="Q65" i="67"/>
  <c r="Q66" i="67"/>
  <c r="Q57" i="67"/>
  <c r="B2" i="33"/>
  <c r="B3" i="33"/>
  <c r="C83" i="67"/>
  <c r="C82" i="67"/>
  <c r="Q47" i="67"/>
  <c r="Q53" i="67"/>
  <c r="C46" i="67"/>
  <c r="Q56" i="67"/>
  <c r="C43" i="67"/>
  <c r="D2" i="67"/>
  <c r="B2" i="67"/>
  <c r="C80" i="15"/>
  <c r="C79" i="15"/>
  <c r="C40" i="15"/>
  <c r="C46" i="15"/>
  <c r="S7" i="39"/>
  <c r="O63" i="40"/>
  <c r="O65" i="40"/>
  <c r="N65" i="40"/>
  <c r="D2" i="37"/>
  <c r="D2" i="35"/>
  <c r="D2" i="34"/>
  <c r="L51" i="15"/>
  <c r="D2" i="36"/>
  <c r="Q75" i="67"/>
  <c r="Q62" i="67"/>
  <c r="B3" i="67"/>
  <c r="L57" i="15"/>
  <c r="L60" i="15"/>
  <c r="Q57" i="15"/>
  <c r="Q67" i="15"/>
  <c r="B2" i="36"/>
  <c r="B3" i="36"/>
  <c r="B2" i="35"/>
  <c r="B3" i="35"/>
  <c r="M3" i="35"/>
  <c r="B2" i="37"/>
  <c r="B3" i="37"/>
  <c r="B2" i="34"/>
  <c r="B3" i="34"/>
  <c r="L46" i="15"/>
  <c r="B2" i="15"/>
  <c r="Q47" i="15"/>
  <c r="Q53" i="15"/>
  <c r="C43" i="15"/>
  <c r="Q65" i="15"/>
  <c r="C83" i="15"/>
  <c r="C82" i="15"/>
  <c r="Q56" i="15"/>
  <c r="W7" i="39"/>
  <c r="U7" i="39"/>
  <c r="J7" i="40"/>
  <c r="F7" i="40"/>
  <c r="H7" i="40"/>
  <c r="AO7" i="1"/>
  <c r="AO9" i="1"/>
  <c r="AO11" i="1"/>
  <c r="AO12" i="1"/>
  <c r="AO6" i="1"/>
  <c r="AO10" i="1"/>
  <c r="AO8" i="1"/>
  <c r="Q66" i="15"/>
  <c r="Q75" i="15"/>
  <c r="Q62" i="15"/>
  <c r="B9" i="70"/>
  <c r="B11" i="70"/>
  <c r="B7" i="70"/>
  <c r="B10" i="70"/>
  <c r="B12" i="70"/>
  <c r="B6" i="70"/>
  <c r="B8" i="70"/>
  <c r="B3" i="15"/>
  <c r="U7" i="40"/>
  <c r="AB7" i="40"/>
  <c r="T42" i="40"/>
  <c r="G42" i="40"/>
  <c r="AA7" i="40"/>
  <c r="R42" i="40"/>
  <c r="S7" i="40"/>
  <c r="AC7" i="40"/>
  <c r="V42" i="40"/>
  <c r="I42" i="40"/>
  <c r="W7" i="40"/>
  <c r="B2" i="70"/>
  <c r="B3" i="7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S6" i="79"/>
  <c r="T6" i="79"/>
  <c r="U6" i="79"/>
  <c r="V6" i="79"/>
  <c r="W6" i="79"/>
  <c r="S7" i="79"/>
  <c r="T7" i="79"/>
  <c r="U7" i="79"/>
  <c r="V7" i="79"/>
  <c r="W7" i="79"/>
  <c r="S8" i="79"/>
  <c r="T8" i="79"/>
  <c r="U8" i="79"/>
  <c r="V8" i="79"/>
  <c r="W8" i="79"/>
  <c r="C23" i="43"/>
  <c r="C33" i="43"/>
  <c r="E33" i="43"/>
  <c r="C37" i="43"/>
  <c r="E37" i="43"/>
  <c r="C30" i="43"/>
  <c r="B2" i="43"/>
  <c r="B6" i="76"/>
  <c r="B2" i="76"/>
  <c r="C34" i="43"/>
  <c r="E34" i="43"/>
  <c r="G37" i="43"/>
  <c r="I37" i="43"/>
  <c r="C31" i="43"/>
  <c r="C38" i="43"/>
  <c r="C39" i="43"/>
  <c r="C40" i="43"/>
  <c r="C41" i="43"/>
  <c r="C42" i="43"/>
  <c r="E6" i="76"/>
  <c r="E2" i="76"/>
  <c r="B3" i="76"/>
  <c r="B3" i="43"/>
  <c r="G39" i="43"/>
  <c r="I39" i="43"/>
  <c r="E39" i="43"/>
  <c r="G40" i="43"/>
  <c r="I40" i="43"/>
  <c r="E40" i="43"/>
  <c r="E38" i="43"/>
  <c r="G38" i="43"/>
  <c r="I38" i="43"/>
  <c r="G41" i="43"/>
  <c r="I41" i="43"/>
  <c r="E41" i="43"/>
  <c r="G42" i="43"/>
  <c r="I42" i="43"/>
  <c r="E42" i="43"/>
  <c r="T5" i="43"/>
  <c r="V5" i="43"/>
  <c r="T6" i="43"/>
  <c r="V6" i="43"/>
  <c r="T2" i="43"/>
  <c r="V2" i="43"/>
  <c r="T3" i="43"/>
  <c r="V3" i="43"/>
  <c r="T4" i="43"/>
  <c r="V4" i="43"/>
  <c r="T8" i="43"/>
  <c r="V8" i="43"/>
  <c r="T10" i="43"/>
  <c r="V10" i="43"/>
  <c r="T12" i="43"/>
  <c r="V12" i="43"/>
  <c r="T14" i="43"/>
  <c r="V14" i="43"/>
  <c r="T16" i="43"/>
  <c r="V16" i="43"/>
  <c r="T7" i="43"/>
  <c r="V7" i="43"/>
  <c r="T9" i="43"/>
  <c r="V9" i="43"/>
  <c r="T11" i="43"/>
  <c r="V11" i="43"/>
  <c r="T13" i="43"/>
  <c r="V13" i="43"/>
  <c r="T15" i="43"/>
  <c r="V15" i="43"/>
  <c r="R8" i="79"/>
  <c r="R7" i="79"/>
  <c r="R6" i="79"/>
  <c r="U28" i="79"/>
  <c r="S28" i="79"/>
  <c r="U27" i="79"/>
  <c r="S27" i="79"/>
  <c r="U26" i="79"/>
  <c r="S26" i="79"/>
  <c r="T28" i="79"/>
  <c r="W28" i="79"/>
  <c r="T27" i="79"/>
  <c r="W27" i="79"/>
  <c r="T26" i="79"/>
  <c r="W26" i="79"/>
  <c r="G16" i="1"/>
  <c r="F10" i="39"/>
  <c r="AA10" i="39"/>
  <c r="H10" i="39"/>
  <c r="AB10" i="39"/>
  <c r="J10" i="39"/>
  <c r="AC10" i="39"/>
  <c r="D122" i="9"/>
  <c r="D123" i="9"/>
  <c r="D9" i="52"/>
  <c r="C35" i="9"/>
  <c r="G118" i="9"/>
  <c r="F118" i="9"/>
  <c r="F119" i="9"/>
  <c r="F5" i="52"/>
  <c r="B53" i="72"/>
  <c r="D5" i="53"/>
  <c r="D6" i="53"/>
  <c r="B22" i="72"/>
  <c r="E118" i="9"/>
  <c r="D118" i="9"/>
  <c r="D4" i="52"/>
  <c r="B47" i="72"/>
  <c r="D45" i="9"/>
  <c r="C85" i="9"/>
  <c r="C93" i="9"/>
  <c r="C86" i="9"/>
  <c r="C95" i="9"/>
  <c r="C96" i="9"/>
  <c r="E96" i="9"/>
  <c r="E97" i="9"/>
  <c r="C72" i="9"/>
  <c r="C78" i="9"/>
  <c r="C73" i="9"/>
  <c r="C79" i="9"/>
  <c r="C80" i="9"/>
  <c r="E80" i="9"/>
  <c r="E81" i="9"/>
  <c r="G4" i="52"/>
  <c r="B52" i="72"/>
  <c r="D15" i="53"/>
  <c r="B31" i="72"/>
  <c r="D8" i="52"/>
  <c r="F4" i="52"/>
  <c r="B51" i="72"/>
  <c r="D13" i="53"/>
  <c r="D14" i="53"/>
  <c r="B32" i="72"/>
  <c r="B20" i="72"/>
  <c r="C5" i="74"/>
  <c r="M48" i="9"/>
  <c r="H119" i="9"/>
  <c r="H5" i="52"/>
  <c r="D7" i="53"/>
  <c r="B21" i="72"/>
  <c r="C64" i="9"/>
  <c r="C63" i="9"/>
  <c r="C67" i="9"/>
  <c r="C68" i="9"/>
  <c r="D54" i="9"/>
  <c r="D119" i="9"/>
  <c r="D5" i="52"/>
  <c r="B49" i="72"/>
  <c r="C81" i="9"/>
  <c r="E4" i="52"/>
  <c r="B48" i="72"/>
  <c r="B30" i="72"/>
  <c r="D55" i="9"/>
  <c r="M53" i="9"/>
  <c r="C97" i="9"/>
  <c r="D58" i="9"/>
  <c r="D56" i="9"/>
  <c r="M54" i="9"/>
  <c r="D59" i="9"/>
  <c r="M55" i="9"/>
  <c r="N57" i="9"/>
  <c r="N58" i="9"/>
  <c r="P57" i="9"/>
  <c r="N59" i="9"/>
  <c r="N60" i="9"/>
  <c r="N61" i="9"/>
  <c r="C105" i="9"/>
  <c r="I4" i="52"/>
  <c r="H4" i="52"/>
  <c r="C104" i="9"/>
  <c r="D52" i="9"/>
  <c r="D53" i="9"/>
  <c r="B56" i="39"/>
  <c r="F56" i="39"/>
  <c r="B57" i="39"/>
  <c r="F57" i="39"/>
  <c r="B58" i="39"/>
  <c r="F58" i="39"/>
  <c r="B59" i="39"/>
  <c r="F59" i="39"/>
  <c r="B60" i="39"/>
  <c r="F60" i="39"/>
  <c r="B61" i="39"/>
  <c r="F61" i="39"/>
  <c r="B62" i="39"/>
  <c r="F62" i="39"/>
  <c r="B63" i="39"/>
  <c r="F63" i="39"/>
  <c r="B64" i="39"/>
  <c r="F64" i="39"/>
  <c r="F65" i="39"/>
  <c r="B2" i="39"/>
  <c r="B3" i="39"/>
  <c r="E47" i="39"/>
  <c r="E51" i="39"/>
  <c r="F51" i="39"/>
  <c r="G47" i="39"/>
  <c r="E52" i="39"/>
  <c r="F52" i="39"/>
  <c r="C47" i="39"/>
  <c r="I47" i="39"/>
  <c r="I52" i="39"/>
  <c r="J52" i="39"/>
  <c r="I51" i="39"/>
  <c r="J51" i="39"/>
  <c r="G52" i="39"/>
  <c r="H52" i="39"/>
  <c r="G51" i="39"/>
  <c r="H51" i="39"/>
  <c r="C57" i="69"/>
  <c r="C56" i="69"/>
  <c r="C19" i="9"/>
  <c r="G19" i="9"/>
  <c r="G21" i="9"/>
  <c r="C21" i="9"/>
  <c r="C34" i="9"/>
  <c r="J10" i="40"/>
  <c r="W10" i="40"/>
  <c r="H10" i="40"/>
  <c r="U10" i="40"/>
  <c r="F10" i="40"/>
  <c r="AA10" i="40"/>
  <c r="S10" i="39"/>
  <c r="AB10" i="40"/>
  <c r="W10" i="39"/>
  <c r="S10" i="40"/>
  <c r="U10" i="39"/>
  <c r="AC10" i="40"/>
  <c r="C103" i="9"/>
  <c r="D22" i="9"/>
  <c r="C10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诗霖</author>
    <author>崔锴</author>
    <author>USER</author>
  </authors>
  <commentList>
    <comment ref="M6" authorId="0" shapeId="0" xr:uid="{00000000-0006-0000-1600-000001000000}">
      <text>
        <r>
          <rPr>
            <b/>
            <sz val="11"/>
            <color indexed="81"/>
            <rFont val="ＭＳ Ｐゴシック"/>
            <family val="2"/>
            <charset val="128"/>
          </rPr>
          <t>诗霖:</t>
        </r>
        <r>
          <rPr>
            <sz val="11"/>
            <color indexed="81"/>
            <rFont val="ＭＳ Ｐゴシック"/>
            <family val="2"/>
            <charset val="128"/>
          </rPr>
          <t xml:space="preserve">
分区</t>
        </r>
      </text>
    </comment>
    <comment ref="M21" authorId="0" shapeId="0" xr:uid="{00000000-0006-0000-1600-00000200000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xr:uid="{00000000-0006-0000-1600-000003000000}">
      <text>
        <r>
          <rPr>
            <b/>
            <sz val="9"/>
            <color indexed="81"/>
            <rFont val="宋体"/>
            <family val="3"/>
            <charset val="134"/>
          </rPr>
          <t>权重验证</t>
        </r>
        <r>
          <rPr>
            <sz val="9"/>
            <color indexed="81"/>
            <rFont val="宋体"/>
            <family val="3"/>
            <charset val="134"/>
          </rPr>
          <t xml:space="preserve">
</t>
        </r>
      </text>
    </comment>
    <comment ref="C69" authorId="2" shapeId="0" xr:uid="{00000000-0006-0000-1600-000004000000}">
      <text>
        <r>
          <rPr>
            <b/>
            <sz val="12"/>
            <color indexed="81"/>
            <rFont val="宋体"/>
            <family val="3"/>
            <charset val="134"/>
          </rPr>
          <t>价值时点所在季度</t>
        </r>
        <r>
          <rPr>
            <sz val="12"/>
            <color indexed="81"/>
            <rFont val="宋体"/>
            <family val="3"/>
            <charset val="134"/>
          </rPr>
          <t xml:space="preserve">
</t>
        </r>
      </text>
    </comment>
    <comment ref="B70" authorId="1" shapeId="0" xr:uid="{00000000-0006-0000-1600-000005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<sst xmlns="http://schemas.openxmlformats.org/spreadsheetml/2006/main" count="10583" uniqueCount="4283">
  <si>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</si>
  <si>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</si>
  <si>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</si>
  <si>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</si>
  <si>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</si>
  <si>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</si>
  <si>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</si>
  <si>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</si>
  <si>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</si>
  <si>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</si>
  <si>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</si>
  <si>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</si>
  <si>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</si>
  <si>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</si>
  <si>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</si>
  <si>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</si>
  <si>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</si>
  <si>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</si>
  <si>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</si>
  <si>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</si>
  <si>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</si>
  <si>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</si>
  <si>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</si>
  <si>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</si>
  <si>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</si>
  <si>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</si>
  <si>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</si>
  <si>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</si>
  <si>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</si>
  <si>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</si>
  <si>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</si>
  <si>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</si>
  <si>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</si>
  <si>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</si>
  <si>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</si>
  <si>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</si>
  <si>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</si>
  <si>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</si>
  <si>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</si>
  <si>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</si>
  <si>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</si>
  <si>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</si>
  <si>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</si>
  <si>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</si>
  <si>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</si>
  <si>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</si>
  <si>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</si>
  <si>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</si>
  <si>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</si>
  <si>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</si>
  <si>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</si>
  <si>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</si>
  <si>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</si>
  <si>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</si>
  <si>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</si>
  <si>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</si>
  <si>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</si>
  <si>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</si>
  <si>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</si>
  <si>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</si>
  <si>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</si>
  <si>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</si>
  <si>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</si>
  <si>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</si>
  <si>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</si>
  <si>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</si>
  <si>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</si>
  <si>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</si>
  <si>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</si>
  <si>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</si>
  <si>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</si>
  <si>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</si>
  <si>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</si>
  <si>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</si>
  <si>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</si>
  <si>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</si>
  <si>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</si>
  <si>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</si>
  <si>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</si>
  <si>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</si>
  <si>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</si>
  <si>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</si>
  <si>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</si>
  <si>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</si>
  <si>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</si>
  <si>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</si>
  <si>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</si>
  <si>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</si>
  <si>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</si>
  <si>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</si>
  <si>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</si>
  <si>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</si>
  <si>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</si>
  <si>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</si>
  <si>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</si>
  <si>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</si>
  <si>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</si>
  <si>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</si>
  <si>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</si>
  <si>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</si>
  <si>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</si>
  <si>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</si>
  <si>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</si>
  <si>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</si>
  <si>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</si>
  <si>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</si>
  <si>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</si>
  <si>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</si>
  <si>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</si>
  <si>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</si>
  <si>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</si>
  <si>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</si>
  <si>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</si>
  <si>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</si>
  <si>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</si>
  <si>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</si>
  <si>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</si>
  <si>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</si>
  <si>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</si>
  <si>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</si>
  <si>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</si>
  <si>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</si>
  <si>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</si>
  <si>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</si>
  <si>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</si>
  <si>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</si>
  <si>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</si>
  <si>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</si>
  <si>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</si>
  <si>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</si>
  <si>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</si>
  <si>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</si>
  <si>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</si>
  <si>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</si>
  <si>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</si>
  <si>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</si>
  <si>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</si>
  <si>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</si>
  <si>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</si>
  <si>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</si>
  <si>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</si>
  <si>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</si>
  <si>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</si>
  <si>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</si>
  <si>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</si>
  <si>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</si>
  <si>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</si>
  <si>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</si>
  <si>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</si>
  <si>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</si>
  <si>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</si>
  <si>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</si>
  <si>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</si>
  <si>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</si>
  <si>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</si>
  <si>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</si>
  <si>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</si>
  <si>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</si>
  <si>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</si>
  <si>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</si>
  <si>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</si>
  <si>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</si>
  <si>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</si>
  <si>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</si>
  <si>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</si>
  <si>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</si>
  <si>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</si>
  <si>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</si>
  <si>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</si>
  <si>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</si>
  <si>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</si>
  <si>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</si>
  <si>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</si>
  <si>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</si>
  <si>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</si>
  <si>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</si>
  <si>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</si>
  <si>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</si>
  <si>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</si>
  <si>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</si>
  <si>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</si>
  <si>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</si>
  <si>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</si>
  <si>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</si>
  <si>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</si>
  <si>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</si>
  <si>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</si>
  <si>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</si>
  <si>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</si>
  <si>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</si>
  <si>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</si>
  <si>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</si>
  <si>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</si>
  <si>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</si>
  <si>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</si>
  <si>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</si>
  <si>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</si>
  <si>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</si>
  <si>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</si>
  <si>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</si>
  <si>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</si>
  <si>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</si>
  <si>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</si>
  <si>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</si>
  <si>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</si>
  <si>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</si>
  <si>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</si>
  <si>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</si>
  <si>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</si>
  <si>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</si>
  <si>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</si>
  <si>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</si>
  <si>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</si>
  <si>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</si>
  <si>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</si>
  <si>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</si>
  <si>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</si>
  <si>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</si>
  <si>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</si>
  <si>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</si>
  <si>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</si>
  <si>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</si>
  <si>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</si>
  <si>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</si>
  <si>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</si>
  <si>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</si>
  <si>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</si>
  <si>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</si>
  <si>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</si>
  <si>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</si>
  <si>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</si>
  <si>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</si>
  <si>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</si>
  <si>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</si>
  <si>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</si>
  <si>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</si>
  <si>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</si>
  <si>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</si>
  <si>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</si>
  <si>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</si>
  <si>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</si>
  <si>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</si>
  <si>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</si>
  <si>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</si>
  <si>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</si>
  <si>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</si>
  <si>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</si>
  <si>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</si>
  <si>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</si>
  <si>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</si>
  <si>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</si>
  <si>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</si>
  <si>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</si>
  <si>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</si>
  <si>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</si>
  <si>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</si>
  <si>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</si>
  <si>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</si>
  <si>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</si>
  <si>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</si>
  <si>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</si>
  <si>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</si>
  <si>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</si>
  <si>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</si>
  <si>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</si>
  <si>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</si>
  <si>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</si>
  <si>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</si>
  <si>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</si>
  <si>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</si>
  <si>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</si>
  <si>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</si>
  <si>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</si>
  <si>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</si>
  <si>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</si>
  <si>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</si>
  <si>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</si>
  <si>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</si>
  <si>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</si>
  <si>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</si>
  <si>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</si>
  <si>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</si>
  <si>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</si>
  <si>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</si>
  <si>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</si>
  <si>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</si>
  <si>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</si>
  <si>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</si>
  <si>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</si>
  <si>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</si>
  <si>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</si>
  <si>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</si>
  <si>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</si>
  <si>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</si>
  <si>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</si>
  <si>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</si>
  <si>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</si>
  <si>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</si>
  <si>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</si>
  <si>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</si>
  <si>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</si>
  <si>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</si>
  <si>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</si>
  <si>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</si>
  <si>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</si>
  <si>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</si>
  <si>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</si>
  <si>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</si>
  <si>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</si>
  <si>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</si>
  <si>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</si>
  <si>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</si>
  <si>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</si>
  <si>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</si>
  <si>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</si>
  <si>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</si>
  <si>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</si>
  <si>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</si>
  <si>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</si>
  <si>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</si>
  <si>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</si>
  <si>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</si>
  <si>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</si>
  <si>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</si>
  <si>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</si>
  <si>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</si>
  <si>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</si>
  <si>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</si>
  <si>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</si>
  <si>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</si>
  <si>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</si>
  <si>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</si>
  <si>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</si>
  <si>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</si>
  <si>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</si>
  <si>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</si>
  <si>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</si>
  <si>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</si>
  <si>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</si>
  <si>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</si>
  <si>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</si>
  <si>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</si>
  <si>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</si>
  <si>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</si>
  <si>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</si>
  <si>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</si>
  <si>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</si>
  <si>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</si>
  <si>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</si>
  <si>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</si>
  <si>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</si>
  <si>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</si>
  <si>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</si>
  <si>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</si>
  <si>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</si>
  <si>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</si>
  <si>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</si>
  <si>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</si>
  <si>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</si>
  <si>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</si>
  <si>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</si>
  <si>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</si>
  <si>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</si>
  <si>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</si>
  <si>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</si>
  <si>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</si>
  <si>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</si>
  <si>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</si>
  <si>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</si>
  <si>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</si>
  <si>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</si>
  <si>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</si>
  <si>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</si>
  <si>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</si>
  <si>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</si>
  <si>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</si>
  <si>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</si>
  <si>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</si>
  <si>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</si>
  <si>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</si>
  <si>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</si>
  <si>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</si>
  <si>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</si>
  <si>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</si>
  <si>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</si>
  <si>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</si>
  <si>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</si>
  <si>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</si>
  <si>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</si>
  <si>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</si>
  <si>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</si>
  <si>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</si>
  <si>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</si>
  <si>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</si>
  <si>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</si>
  <si>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</si>
  <si>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</si>
  <si>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</si>
  <si>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</si>
  <si>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</si>
  <si>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</si>
  <si>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</si>
  <si>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</si>
  <si>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</si>
  <si>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</si>
  <si>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</si>
  <si>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</si>
  <si>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</si>
  <si>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</si>
  <si>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</si>
  <si>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</si>
  <si>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</si>
  <si>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</si>
  <si>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</si>
  <si>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</si>
  <si>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</si>
  <si>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</si>
  <si>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</si>
  <si>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</si>
  <si>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</si>
  <si>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</si>
  <si>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</si>
  <si>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</si>
  <si>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</si>
  <si>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</si>
  <si>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</si>
  <si>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</si>
  <si>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</si>
  <si>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</si>
  <si>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</si>
  <si>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</si>
  <si>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</si>
  <si>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</si>
  <si>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</si>
  <si>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</si>
  <si>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</si>
  <si>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</si>
  <si>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</si>
  <si>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</si>
  <si>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</si>
  <si>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</si>
  <si>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</si>
  <si>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</si>
  <si>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</si>
  <si>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</si>
  <si>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</si>
  <si>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</si>
  <si>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</si>
  <si>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</si>
  <si>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</si>
  <si>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</si>
  <si>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</si>
  <si>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</si>
  <si>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</si>
  <si>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</si>
  <si>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</si>
  <si>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</si>
  <si>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</si>
  <si>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</si>
  <si>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</si>
  <si>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</si>
  <si>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</si>
  <si>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</si>
  <si>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</si>
  <si>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</si>
  <si>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</si>
  <si>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</si>
  <si>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</si>
  <si>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</si>
  <si>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</si>
  <si>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</si>
  <si>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</si>
  <si>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</si>
  <si>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</si>
  <si>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</si>
  <si>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</si>
  <si>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</si>
  <si>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</si>
  <si>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</si>
  <si>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</si>
  <si>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</si>
  <si>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</si>
  <si>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</si>
  <si>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</si>
  <si>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</si>
  <si>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</si>
  <si>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</si>
  <si>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</si>
  <si>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</si>
  <si>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</si>
  <si>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</si>
  <si>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</si>
  <si>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</si>
  <si>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</si>
  <si>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</si>
  <si>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</si>
  <si>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</si>
  <si>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</si>
  <si>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</si>
  <si>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</si>
  <si>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</si>
  <si>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</si>
  <si>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</si>
  <si>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</si>
  <si>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</si>
  <si>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</si>
  <si>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</si>
  <si>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</si>
  <si>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</si>
  <si>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</si>
  <si>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</si>
  <si>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</si>
  <si>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</si>
  <si>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</si>
  <si>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</si>
  <si>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</si>
  <si>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</si>
  <si>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</si>
  <si>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</si>
  <si>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</si>
  <si>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</si>
  <si>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</si>
  <si>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</si>
  <si>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</si>
  <si>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</si>
  <si>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</si>
  <si>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</si>
  <si>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</si>
  <si>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</si>
  <si>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</si>
  <si>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</si>
  <si>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</si>
  <si>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</si>
  <si>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</si>
  <si>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</si>
  <si>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</si>
  <si>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</si>
  <si>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</si>
  <si>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</si>
  <si>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</si>
  <si>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</si>
  <si>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</si>
  <si>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</si>
  <si>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</si>
  <si>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</si>
  <si>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</si>
  <si>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</si>
  <si>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</si>
  <si>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</si>
  <si>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</si>
  <si>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</si>
  <si>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</si>
  <si>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</si>
  <si>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</si>
  <si>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</si>
  <si>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</si>
  <si>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</si>
  <si>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</si>
  <si>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</si>
  <si>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</si>
  <si>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</si>
  <si>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</si>
  <si>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</si>
  <si>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</si>
  <si>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</si>
  <si>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</si>
  <si>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</si>
  <si>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</si>
  <si>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</si>
  <si>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</si>
  <si>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</si>
  <si>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</si>
  <si>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</si>
  <si>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</si>
  <si>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</si>
  <si>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</si>
  <si>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</si>
  <si>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</si>
  <si>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</si>
  <si>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</si>
  <si>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</si>
  <si>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</si>
  <si>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</si>
  <si>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</si>
  <si>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</si>
  <si>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</si>
  <si>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</si>
  <si>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</si>
  <si>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</si>
  <si>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</si>
  <si>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</si>
  <si>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</si>
  <si>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</si>
  <si>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</si>
  <si>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</si>
  <si>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</si>
  <si>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</si>
  <si>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</si>
  <si>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</si>
  <si>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</si>
  <si>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</si>
  <si>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</si>
  <si>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</si>
  <si>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</si>
  <si>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</si>
  <si>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</si>
  <si>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</si>
  <si>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</si>
  <si>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</si>
  <si>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</si>
  <si>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</si>
  <si>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</si>
  <si>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</si>
  <si>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</si>
  <si>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</si>
  <si>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</si>
  <si>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</si>
  <si>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</si>
  <si>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</si>
  <si>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</si>
  <si>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</si>
  <si>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</si>
  <si>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</si>
  <si>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</si>
  <si>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</si>
  <si>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</si>
  <si>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</si>
  <si>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</si>
  <si>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</si>
  <si>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</si>
  <si>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</si>
  <si>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</si>
  <si>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</si>
  <si>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</si>
  <si>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</si>
  <si>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</si>
  <si>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</si>
  <si>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</si>
  <si>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</si>
  <si>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</si>
  <si>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</si>
  <si>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</si>
  <si>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</si>
  <si>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</si>
  <si>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</si>
  <si>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</si>
  <si>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</si>
  <si>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</si>
  <si>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</si>
  <si>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</si>
  <si>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</si>
  <si>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</si>
  <si>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</si>
  <si>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</si>
  <si>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</si>
  <si>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</si>
  <si>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</si>
  <si>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</si>
  <si>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</si>
  <si>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</si>
  <si>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</si>
  <si>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</si>
  <si>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</si>
  <si>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</si>
  <si>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</si>
  <si>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</si>
  <si>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</si>
  <si>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</si>
  <si>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</si>
  <si>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</si>
  <si>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</si>
  <si>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</si>
  <si>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</si>
  <si>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</si>
  <si>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</si>
  <si>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</si>
  <si>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</si>
  <si>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</si>
  <si>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</si>
  <si>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</si>
  <si>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</si>
  <si>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</si>
  <si>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</si>
  <si>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</si>
  <si>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</si>
  <si>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</si>
  <si>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</si>
  <si>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</si>
  <si>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</si>
  <si>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</si>
  <si>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</si>
  <si>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</si>
  <si>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</si>
  <si>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</si>
  <si>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</si>
  <si>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</si>
  <si>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</si>
  <si>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</si>
  <si>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</si>
  <si>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</si>
  <si>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</si>
  <si>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</si>
  <si>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</si>
  <si>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</si>
  <si>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</si>
  <si>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</si>
  <si>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</si>
  <si>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</si>
  <si>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</si>
  <si>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</si>
  <si>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</si>
  <si>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</si>
  <si>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</si>
  <si>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</si>
  <si>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</si>
  <si>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</si>
  <si>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</si>
  <si>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</si>
  <si>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</si>
  <si>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</si>
  <si>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</si>
  <si>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</si>
  <si>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</si>
  <si>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</si>
  <si>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</si>
  <si>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</si>
  <si>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</si>
  <si>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</si>
  <si>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</si>
  <si>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</si>
  <si>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</si>
  <si>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</si>
  <si>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</si>
  <si>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</si>
  <si>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</si>
  <si>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</si>
  <si>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</si>
  <si>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</si>
  <si>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</si>
  <si>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</si>
  <si>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</si>
  <si>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</si>
  <si>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</si>
  <si>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</si>
  <si>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</si>
  <si>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</si>
  <si>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</si>
  <si>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</si>
  <si>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</si>
  <si>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</si>
  <si>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</si>
  <si>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</si>
  <si>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</si>
  <si>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</si>
  <si>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</si>
  <si>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</si>
  <si>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</si>
  <si>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</si>
  <si>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</si>
  <si>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</si>
  <si>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</si>
  <si>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</si>
  <si>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</si>
  <si>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</si>
  <si>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</si>
  <si>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</si>
  <si>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</si>
  <si>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</si>
  <si>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</si>
  <si>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</si>
  <si>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</si>
  <si>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</si>
  <si>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</si>
  <si>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</si>
  <si>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</si>
  <si>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</si>
  <si>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</si>
  <si>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</si>
  <si>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</si>
  <si>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</si>
  <si>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</si>
  <si>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</si>
  <si>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</si>
  <si>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</si>
  <si>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</si>
  <si>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</si>
  <si>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</si>
  <si>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</si>
  <si>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</si>
  <si>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</si>
  <si>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</si>
  <si>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</si>
  <si>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</si>
  <si>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</si>
  <si>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</si>
  <si>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</si>
  <si>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</si>
  <si>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</si>
  <si>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</si>
  <si>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</si>
  <si>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</si>
  <si>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</si>
  <si>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</si>
  <si>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</si>
  <si>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</si>
  <si>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</si>
  <si>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</si>
  <si>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</si>
  <si>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</si>
  <si>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</si>
  <si>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</si>
  <si>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</si>
  <si>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</si>
  <si>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</si>
  <si>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</si>
  <si>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</si>
  <si>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</si>
  <si>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</si>
  <si>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</si>
  <si>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</si>
  <si>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</si>
  <si>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</si>
  <si>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</si>
  <si>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</si>
  <si>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</si>
  <si>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</si>
  <si>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</si>
  <si>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</si>
  <si>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</si>
  <si>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</si>
  <si>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</si>
  <si>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</si>
  <si>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</si>
  <si>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</si>
  <si>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</si>
  <si>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</si>
  <si>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</si>
  <si>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</si>
  <si>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</si>
  <si>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</si>
  <si>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</si>
  <si>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</si>
  <si>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</si>
  <si>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</si>
  <si>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</si>
  <si>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</si>
  <si>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</si>
  <si>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</si>
  <si>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</si>
  <si>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</si>
  <si>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</si>
  <si>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</si>
  <si>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</si>
  <si>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</si>
  <si>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</si>
  <si>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</si>
  <si>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</si>
  <si>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</si>
  <si>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</si>
  <si>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</si>
  <si>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</si>
  <si>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</si>
  <si>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</si>
  <si>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</si>
  <si>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</si>
  <si>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</si>
  <si>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</si>
  <si>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</si>
  <si>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</si>
  <si>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</si>
  <si>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</si>
  <si>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</si>
  <si>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</si>
  <si>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</si>
  <si>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</si>
  <si>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</si>
  <si>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</si>
  <si>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</si>
  <si>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</si>
  <si>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</si>
  <si>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</si>
  <si>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</si>
  <si>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</si>
  <si>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</si>
  <si>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</si>
  <si>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</si>
  <si>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</si>
  <si>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</si>
  <si>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</si>
  <si>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</si>
  <si>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</si>
  <si>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</si>
  <si>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</si>
  <si>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</si>
  <si>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</si>
  <si>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</si>
  <si>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</si>
  <si>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</si>
  <si>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</si>
  <si>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</si>
  <si>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</si>
  <si>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</si>
  <si>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</si>
  <si>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</si>
  <si>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</si>
  <si>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</si>
  <si>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</si>
  <si>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</si>
  <si>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</si>
  <si>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</si>
  <si>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</si>
  <si>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</si>
  <si>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</si>
  <si>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</si>
  <si>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</si>
  <si>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</si>
  <si>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</si>
  <si>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</si>
  <si>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</si>
  <si>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</si>
  <si>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</si>
  <si>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</si>
  <si>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</si>
  <si>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</si>
  <si>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</si>
  <si>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</si>
  <si>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</si>
  <si>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</si>
  <si>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</si>
  <si>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</si>
  <si>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</si>
  <si>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</si>
  <si>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</si>
  <si>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</si>
  <si>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</si>
  <si>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</si>
  <si>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</si>
  <si>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</si>
  <si>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</si>
  <si>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</si>
  <si>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</si>
  <si>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</si>
  <si>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</si>
  <si>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</si>
  <si>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</si>
  <si>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</si>
  <si>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</si>
  <si>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</si>
  <si>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</si>
  <si>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</si>
  <si>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</si>
  <si>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</si>
  <si>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</si>
  <si>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</si>
  <si>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</si>
  <si>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</si>
  <si>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</si>
  <si>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</si>
  <si>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</si>
  <si>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</si>
  <si>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</si>
  <si>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</si>
  <si>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</si>
  <si>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</si>
  <si>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</si>
  <si>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</si>
  <si>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</si>
  <si>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</si>
  <si>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</si>
  <si>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</si>
  <si>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</si>
  <si>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</si>
  <si>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</si>
  <si>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</si>
  <si>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</si>
  <si>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</si>
  <si>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</si>
  <si>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</si>
  <si>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</si>
  <si>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</si>
  <si>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</si>
  <si>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</si>
  <si>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</si>
  <si>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</si>
  <si>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</si>
  <si>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</si>
  <si>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</si>
  <si>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</si>
  <si>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</si>
  <si>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</si>
  <si>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</si>
  <si>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</si>
  <si>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</si>
  <si>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</si>
  <si>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</si>
  <si>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</si>
  <si>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</si>
  <si>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</si>
  <si>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</si>
  <si>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</si>
  <si>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</si>
  <si>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</si>
  <si>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</si>
  <si>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</si>
  <si>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</si>
  <si>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</si>
  <si>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</si>
  <si>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</si>
  <si>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</si>
  <si>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</si>
  <si>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</si>
  <si>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</si>
  <si>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</si>
  <si>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</si>
  <si>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</si>
  <si>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</si>
  <si>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</si>
  <si>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</si>
  <si>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</si>
  <si>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</si>
  <si>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</si>
  <si>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</si>
  <si>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</si>
  <si>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</si>
  <si>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</si>
  <si>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</si>
  <si>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</si>
  <si>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</si>
  <si>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</si>
  <si>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</si>
  <si>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</si>
  <si>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</si>
  <si>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</si>
  <si>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</si>
  <si>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</si>
  <si>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</si>
  <si>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</si>
  <si>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</si>
  <si>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</si>
  <si>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</si>
  <si>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</si>
  <si>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</si>
  <si>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</si>
  <si>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</si>
  <si>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</si>
  <si>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</si>
  <si>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</si>
  <si>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</si>
  <si>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</si>
  <si>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</si>
  <si>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</si>
  <si>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</si>
  <si>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</si>
  <si>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</si>
  <si>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</si>
  <si>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</si>
  <si>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</si>
  <si>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</si>
  <si>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</si>
  <si>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</si>
  <si>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</si>
  <si>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</si>
  <si>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</si>
  <si>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</si>
  <si>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</si>
  <si>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</si>
  <si>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</si>
  <si>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</si>
  <si>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</si>
  <si>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</si>
  <si>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</si>
  <si>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</si>
  <si>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</si>
  <si>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</si>
  <si>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</si>
  <si>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</si>
  <si>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</si>
  <si>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</si>
  <si>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</si>
  <si>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</si>
  <si>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</si>
  <si>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</si>
  <si>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</si>
  <si>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</si>
  <si>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</si>
  <si>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</si>
  <si>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</si>
  <si>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</si>
  <si>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</si>
  <si>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</si>
  <si>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</si>
  <si>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</si>
  <si>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</si>
  <si>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</si>
  <si>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</si>
  <si>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</si>
  <si>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</si>
  <si>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</si>
  <si>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</si>
  <si>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</si>
  <si>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</si>
  <si>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</si>
  <si>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</si>
  <si>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</si>
  <si>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</si>
  <si>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</si>
  <si>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</si>
  <si>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</si>
  <si>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</si>
  <si>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</si>
  <si>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</si>
  <si>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</si>
  <si>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</si>
  <si>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</si>
  <si>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</si>
  <si>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</si>
  <si>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</si>
  <si>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</si>
  <si>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</si>
  <si>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</si>
  <si>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</si>
  <si>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</si>
  <si>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</si>
  <si>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</si>
  <si>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</si>
  <si>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</si>
  <si>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</si>
  <si>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</si>
  <si>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</si>
  <si>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</si>
  <si>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</si>
  <si>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</si>
  <si>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</si>
  <si>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</si>
  <si>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</si>
  <si>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</si>
  <si>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</si>
  <si>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</si>
  <si>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</si>
  <si>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</si>
  <si>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</si>
  <si>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</si>
  <si>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</si>
  <si>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</si>
  <si>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</si>
  <si>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</si>
  <si>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</si>
  <si>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</si>
  <si>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</si>
  <si>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</si>
  <si>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</si>
  <si>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</si>
  <si>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</si>
  <si>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</si>
  <si>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</si>
  <si>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</si>
  <si>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</si>
  <si>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</si>
  <si>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</si>
  <si>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</si>
  <si>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</si>
  <si>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</si>
  <si>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</si>
  <si>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</si>
  <si>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</si>
  <si>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</si>
  <si>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</si>
  <si>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</si>
  <si>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</si>
  <si>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</si>
  <si>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</si>
  <si>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</si>
  <si>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</si>
  <si>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</si>
  <si>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</si>
  <si>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</si>
  <si>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</si>
  <si>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</si>
  <si>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</si>
  <si>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</si>
  <si>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</si>
  <si>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</si>
  <si>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</si>
  <si>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</si>
  <si>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</si>
  <si>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</si>
  <si>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</si>
  <si>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</si>
  <si>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</si>
  <si>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</si>
  <si>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</si>
  <si>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</si>
  <si>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</si>
  <si>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</si>
  <si>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</si>
  <si>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</si>
  <si>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</si>
  <si>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</si>
  <si>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</si>
  <si>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</si>
  <si>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</si>
  <si>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</si>
  <si>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</si>
  <si>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</si>
  <si>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</si>
  <si>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</si>
  <si>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</si>
  <si>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</si>
  <si>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</si>
  <si>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</si>
  <si>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</si>
  <si>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</si>
  <si>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</si>
  <si>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</si>
  <si>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</si>
  <si>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</si>
  <si>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</si>
  <si>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</si>
  <si>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</si>
  <si>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</si>
  <si>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</si>
  <si>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</si>
  <si>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</si>
  <si>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</si>
  <si>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</si>
  <si>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</si>
  <si>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</si>
  <si>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</si>
  <si>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</si>
  <si>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</si>
  <si>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</si>
  <si>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</si>
  <si>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</si>
  <si>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</si>
  <si>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</si>
  <si>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</si>
  <si>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</si>
  <si>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</si>
  <si>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</si>
  <si>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</si>
  <si>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</si>
  <si>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</si>
  <si>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</si>
  <si>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</si>
  <si>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</si>
  <si>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</si>
  <si>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</si>
  <si>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</si>
  <si>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</si>
  <si>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</si>
  <si>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</si>
  <si>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</si>
  <si>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</si>
  <si>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</si>
  <si>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</si>
  <si>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</si>
  <si>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</si>
  <si>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</si>
  <si>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</si>
  <si>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</si>
  <si>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</si>
  <si>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</si>
  <si>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</si>
  <si>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</si>
  <si>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</si>
  <si>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</si>
  <si>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</si>
  <si>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</si>
  <si>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</si>
  <si>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</si>
  <si>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</si>
  <si>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</si>
  <si>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</si>
  <si>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</si>
  <si>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</si>
  <si>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</si>
  <si>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</si>
  <si>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</si>
  <si>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</si>
  <si>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</si>
  <si>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</si>
  <si>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</si>
  <si>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</si>
  <si>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</si>
  <si>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</si>
  <si>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</si>
  <si>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</si>
  <si>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</si>
  <si>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</si>
  <si>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</si>
  <si>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</si>
  <si>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</si>
  <si>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</si>
  <si>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</si>
  <si>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</si>
  <si>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</si>
  <si>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</si>
  <si>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</si>
  <si>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</si>
  <si>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</si>
  <si>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</si>
  <si>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</si>
  <si>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</si>
  <si>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</si>
  <si>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</si>
  <si>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</si>
  <si>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</si>
  <si>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</si>
  <si>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</si>
  <si>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</si>
  <si>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</si>
  <si>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</si>
  <si>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</si>
  <si>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</si>
  <si>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</si>
  <si>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</si>
  <si>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</si>
  <si>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</si>
  <si>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</si>
  <si>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</si>
  <si>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</si>
  <si>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</si>
  <si>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</si>
  <si>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</si>
  <si>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</si>
  <si>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</si>
  <si>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</si>
  <si>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</si>
  <si>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</si>
  <si>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</si>
  <si>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</si>
  <si>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</si>
  <si>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</si>
  <si>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</si>
  <si>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</si>
  <si>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</si>
  <si>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</si>
  <si>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</si>
  <si>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</si>
  <si>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</si>
  <si>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</si>
  <si>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</si>
  <si>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</si>
  <si>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</si>
  <si>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</si>
  <si>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</si>
  <si>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</si>
  <si>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</si>
  <si>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</si>
  <si>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</si>
  <si>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</si>
  <si>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</si>
  <si>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</si>
  <si>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</si>
  <si>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</si>
  <si>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</si>
  <si>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</si>
  <si>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</si>
  <si>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</si>
  <si>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</si>
  <si>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</si>
  <si>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</si>
  <si>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</si>
  <si>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</si>
  <si>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</si>
  <si>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</si>
  <si>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</si>
  <si>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</si>
  <si>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</si>
  <si>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</si>
  <si>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</si>
  <si>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</si>
  <si>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</si>
  <si>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</si>
  <si>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</si>
  <si>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</si>
  <si>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</si>
  <si>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</si>
  <si>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</si>
  <si>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</si>
  <si>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</si>
  <si>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</si>
  <si>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</si>
  <si>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</si>
  <si>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</si>
  <si>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</si>
  <si>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</si>
  <si>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</si>
  <si>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</si>
  <si>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</si>
  <si>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</si>
  <si>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</si>
  <si>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</si>
  <si>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</si>
  <si>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</si>
  <si>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</si>
  <si>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</si>
  <si>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</si>
  <si>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</si>
  <si>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</si>
  <si>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</si>
  <si>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</si>
  <si>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</si>
  <si>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</si>
  <si>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</si>
  <si>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</si>
  <si>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</si>
  <si>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</si>
  <si>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</si>
  <si>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</si>
  <si>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</si>
  <si>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</si>
  <si>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</si>
  <si>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</si>
  <si>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</si>
  <si>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</si>
  <si>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</si>
  <si>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</si>
  <si>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</si>
  <si>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</si>
  <si>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</si>
  <si>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</si>
  <si>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</si>
  <si>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</si>
  <si>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</si>
  <si>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</si>
  <si>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</si>
  <si>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</si>
  <si>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</si>
  <si>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</si>
  <si>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</si>
  <si>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</si>
  <si>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</si>
  <si>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</si>
  <si>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</si>
  <si>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</si>
  <si>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</si>
  <si>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</si>
  <si>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</si>
  <si>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</si>
  <si>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</si>
  <si>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</si>
  <si>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</si>
  <si>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</si>
  <si>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</si>
  <si>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</si>
  <si>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</si>
  <si>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</si>
  <si>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</si>
  <si>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</si>
  <si>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</si>
  <si>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</si>
  <si>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</si>
  <si>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</si>
  <si>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</si>
  <si>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</si>
  <si>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</si>
  <si>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</si>
  <si>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</si>
  <si>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</si>
  <si>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</si>
  <si>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</si>
  <si>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</si>
  <si>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</si>
  <si>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</si>
  <si>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</si>
  <si>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</si>
  <si>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</si>
  <si>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</si>
  <si>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</si>
  <si>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</si>
  <si>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</si>
  <si>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</si>
  <si>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</si>
  <si>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</si>
  <si>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</si>
  <si>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</si>
  <si>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</si>
  <si>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</si>
  <si>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</si>
  <si>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</si>
  <si>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</si>
  <si>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</si>
  <si>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</si>
  <si>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</si>
  <si>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</si>
  <si>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</si>
  <si>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</si>
  <si>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</si>
  <si>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</si>
  <si>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</si>
  <si>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</si>
  <si>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</si>
  <si>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</si>
  <si>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</si>
  <si>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</si>
  <si>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</si>
  <si>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</si>
  <si>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</si>
  <si>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</si>
  <si>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</si>
  <si>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</si>
  <si>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</si>
  <si>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</si>
  <si>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</si>
  <si>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</si>
  <si>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</si>
  <si>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</si>
  <si>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</si>
  <si>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</si>
  <si>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</si>
  <si>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</si>
  <si>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</si>
  <si>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</si>
  <si>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</si>
  <si>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</si>
  <si>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</si>
  <si>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</si>
  <si>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</si>
  <si>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</si>
  <si>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</si>
  <si>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</si>
  <si>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</si>
  <si>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</si>
  <si>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</si>
  <si>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</si>
  <si>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</si>
  <si>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</si>
  <si>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</si>
  <si>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</si>
  <si>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</si>
  <si>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</si>
  <si>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</si>
  <si>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</si>
  <si>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</si>
  <si>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</si>
  <si>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</si>
  <si>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</si>
  <si>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</si>
  <si>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</si>
  <si>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</si>
  <si>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</si>
  <si>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</si>
  <si>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</si>
  <si>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</si>
  <si>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</si>
  <si>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</si>
  <si>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</si>
  <si>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</si>
  <si>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</si>
  <si>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</si>
  <si>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</si>
  <si>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</si>
  <si>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</si>
  <si>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</si>
  <si>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</si>
  <si>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</si>
  <si>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</si>
  <si>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</si>
  <si>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</si>
  <si>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</si>
  <si>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</si>
  <si>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</si>
  <si>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</si>
  <si>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</si>
  <si>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</si>
  <si>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</si>
  <si>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</si>
  <si>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</si>
  <si>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</si>
  <si>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</si>
  <si>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</si>
  <si>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</si>
  <si>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</si>
  <si>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</si>
  <si>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</si>
  <si>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</si>
  <si>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</si>
  <si>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</si>
  <si>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</si>
  <si>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</si>
  <si>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</si>
  <si>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</si>
  <si>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</si>
  <si>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</si>
  <si>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</si>
  <si>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</si>
  <si>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</si>
  <si>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</si>
  <si>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</si>
  <si>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</si>
  <si>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</si>
  <si>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</si>
  <si>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</si>
  <si>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</si>
  <si>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</si>
  <si>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</si>
  <si>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</si>
  <si>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</si>
  <si>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</si>
  <si>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</si>
  <si>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</si>
  <si>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</si>
  <si>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</si>
  <si>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</si>
  <si>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</si>
  <si>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</si>
  <si>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</si>
  <si>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</si>
  <si>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</si>
  <si>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</si>
  <si>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</si>
  <si>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</si>
  <si>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</si>
  <si>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</si>
  <si>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</si>
  <si>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</si>
  <si>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</si>
  <si>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</si>
  <si>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</si>
  <si>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</si>
  <si>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</si>
  <si>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</si>
  <si>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</si>
  <si>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</si>
  <si>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</si>
  <si>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</si>
  <si>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</si>
  <si>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</si>
  <si>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</si>
  <si>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</si>
  <si>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</si>
  <si>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</si>
  <si>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</si>
  <si>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</si>
  <si>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</si>
  <si>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</si>
  <si>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</si>
  <si>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</si>
  <si>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</si>
  <si>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</si>
  <si>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</si>
  <si>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</si>
  <si>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</si>
  <si>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</si>
  <si>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</si>
  <si>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</si>
  <si>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</si>
  <si>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</si>
  <si>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</si>
  <si>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</si>
  <si>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</si>
  <si>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</si>
  <si>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</si>
  <si>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</si>
  <si>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</si>
  <si>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</si>
  <si>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</si>
  <si>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</si>
  <si>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</si>
  <si>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</si>
  <si>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</si>
  <si>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</si>
  <si>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</si>
  <si>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</si>
  <si>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</si>
  <si>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</si>
  <si>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</si>
  <si>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</si>
  <si>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</si>
  <si>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</si>
  <si>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</si>
  <si>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</si>
  <si>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</si>
  <si>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</si>
  <si>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</si>
  <si>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</si>
  <si>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</si>
  <si>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</si>
  <si>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</si>
  <si>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</si>
  <si>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</si>
  <si>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</si>
  <si>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</si>
  <si>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</si>
  <si>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</si>
  <si>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</si>
  <si>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</si>
  <si>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</si>
  <si>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</si>
  <si>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</si>
  <si>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</si>
  <si>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</si>
  <si>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</si>
  <si>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</si>
  <si>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</si>
  <si>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</si>
  <si>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</si>
  <si>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</si>
  <si>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</si>
  <si>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</si>
  <si>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</si>
  <si>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</si>
  <si>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</si>
  <si>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</si>
  <si>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</si>
  <si>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</si>
  <si>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</si>
  <si>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</si>
  <si>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</si>
  <si>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</si>
  <si>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</si>
  <si>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</si>
  <si>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</si>
  <si>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</si>
  <si>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</si>
  <si>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</si>
  <si>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</si>
  <si>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</si>
  <si>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</si>
  <si>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</si>
  <si>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</si>
  <si>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</si>
  <si>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</si>
  <si>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</si>
  <si>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</si>
  <si>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</si>
  <si>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</si>
  <si>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</si>
  <si>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</si>
  <si>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</si>
  <si>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</si>
  <si>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</si>
  <si>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</si>
  <si>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</si>
  <si>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</si>
  <si>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</si>
  <si>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</si>
  <si>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</si>
  <si>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</si>
  <si>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</si>
  <si>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</si>
  <si>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</si>
  <si>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</si>
  <si>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</si>
  <si>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</si>
  <si>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</si>
  <si>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</si>
  <si>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</si>
  <si>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</si>
  <si>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</si>
  <si>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</si>
  <si>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</si>
  <si>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</si>
  <si>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</si>
  <si>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</si>
  <si>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</si>
  <si>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</si>
  <si>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</si>
  <si>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</si>
  <si>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</si>
  <si>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</si>
  <si>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</si>
  <si>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</si>
  <si>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</si>
  <si>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</si>
  <si>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</si>
  <si>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</si>
  <si>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</si>
  <si>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</si>
  <si>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</si>
  <si>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</si>
  <si>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</si>
  <si>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</si>
  <si>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</si>
  <si>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</si>
  <si>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</si>
  <si>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</si>
  <si>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</si>
  <si>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</si>
  <si>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</si>
  <si>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</si>
  <si>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</si>
  <si>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</si>
  <si>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</si>
  <si>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</si>
  <si>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</si>
  <si>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</si>
  <si>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</si>
  <si>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</si>
  <si>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</si>
  <si>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</si>
  <si>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</si>
  <si>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</si>
  <si>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</si>
  <si>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</si>
  <si>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</si>
  <si>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</si>
  <si>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</si>
  <si>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</si>
  <si>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</si>
  <si>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</si>
  <si>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</si>
  <si>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</si>
  <si>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</si>
  <si>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</si>
  <si>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</si>
  <si>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</si>
  <si>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</si>
  <si>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</si>
  <si>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</si>
  <si>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</si>
  <si>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</si>
  <si>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</si>
  <si>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</si>
  <si>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</si>
  <si>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</si>
  <si>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</si>
  <si>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</si>
  <si>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</si>
  <si>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</si>
  <si>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</si>
  <si>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</si>
  <si>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</si>
  <si>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</si>
  <si>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</si>
  <si>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</si>
  <si>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</si>
  <si>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</si>
  <si>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</si>
  <si>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</si>
  <si>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</si>
  <si>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</si>
  <si>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</si>
  <si>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</si>
  <si>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</si>
  <si>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</si>
  <si>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</si>
  <si>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</si>
  <si>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</si>
  <si>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</si>
  <si>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</si>
  <si>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</si>
  <si>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</si>
  <si>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</si>
  <si>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</si>
  <si>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</si>
  <si>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</si>
  <si>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</si>
  <si>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</si>
  <si>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</si>
  <si>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</si>
  <si>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</si>
  <si>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</si>
  <si>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</si>
  <si>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</si>
  <si>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</si>
  <si>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</si>
  <si>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</si>
  <si>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</si>
  <si>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</si>
  <si>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</si>
  <si>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</si>
  <si>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</si>
  <si>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</si>
  <si>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</si>
  <si>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</si>
  <si>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</si>
  <si>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</si>
  <si>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</si>
  <si>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</si>
  <si>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</si>
  <si>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</si>
  <si>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</si>
  <si>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</si>
  <si>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</si>
  <si>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</si>
  <si>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</si>
  <si>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</si>
  <si>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</si>
  <si>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</si>
  <si>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</si>
  <si>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</si>
  <si>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</si>
  <si>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</si>
  <si>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</si>
  <si>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</si>
  <si>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</si>
  <si>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</si>
  <si>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</si>
  <si>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</si>
  <si>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</si>
  <si>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</si>
  <si>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</si>
  <si>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</si>
  <si>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</si>
  <si>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</si>
  <si>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</si>
  <si>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</si>
  <si>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</si>
  <si>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</si>
  <si>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</si>
  <si>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</si>
  <si>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</si>
  <si>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</si>
  <si>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</si>
  <si>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</si>
  <si>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</si>
  <si>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</si>
  <si>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</si>
  <si>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</si>
  <si>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</si>
  <si>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</si>
  <si>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</si>
  <si>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</si>
  <si>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</si>
  <si>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</si>
  <si>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</si>
  <si>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</si>
  <si>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</si>
  <si>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</si>
  <si>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</si>
  <si>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</si>
  <si>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</si>
  <si>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</si>
  <si>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</si>
  <si>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</si>
  <si>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</si>
  <si>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</si>
  <si>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</si>
  <si>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</si>
  <si>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</si>
  <si>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</si>
  <si>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</si>
  <si>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</si>
  <si>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</si>
  <si>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</si>
  <si>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</si>
  <si>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</si>
  <si>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</si>
  <si>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</si>
  <si>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</si>
  <si>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</si>
  <si>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</si>
  <si>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</si>
  <si>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</si>
  <si>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</si>
  <si>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</si>
  <si>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</si>
  <si>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</si>
  <si>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</si>
  <si>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</si>
  <si>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</si>
  <si>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</si>
  <si>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</si>
  <si>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</si>
  <si>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</si>
  <si>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</si>
  <si>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</si>
  <si>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</si>
  <si>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</si>
  <si>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</si>
  <si>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</si>
  <si>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</si>
  <si>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</si>
  <si>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</si>
  <si>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</si>
  <si>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</si>
  <si>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</si>
  <si>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</si>
  <si>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</si>
  <si>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</si>
  <si>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</si>
  <si>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</si>
  <si>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</si>
  <si>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</si>
  <si>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</si>
  <si>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</si>
  <si>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</si>
  <si>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</si>
  <si>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</si>
  <si>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</si>
  <si>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</si>
  <si>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</si>
  <si>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</si>
  <si>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</si>
  <si>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</si>
  <si>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</si>
  <si>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</si>
  <si>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</si>
  <si>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</si>
  <si>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</si>
  <si>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</si>
  <si>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</si>
  <si>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</si>
  <si>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</si>
  <si>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</si>
  <si>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</si>
  <si>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</si>
  <si>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</si>
  <si>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</si>
  <si>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</si>
  <si>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</si>
  <si>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</si>
  <si>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</si>
  <si>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</si>
  <si>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</si>
  <si>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</si>
  <si>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</si>
  <si>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</si>
  <si>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</si>
  <si>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</si>
  <si>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</si>
  <si>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</si>
  <si>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</si>
  <si>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</si>
  <si>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</si>
  <si>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</si>
  <si>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</si>
  <si>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</si>
  <si>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</si>
  <si>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</si>
  <si>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</si>
  <si>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</si>
  <si>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</si>
  <si>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</si>
  <si>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</si>
  <si>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</si>
  <si>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</si>
  <si>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</si>
  <si>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</si>
  <si>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</si>
  <si>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</si>
  <si>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</si>
  <si>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</si>
  <si>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</si>
  <si>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</si>
  <si>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</si>
  <si>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</si>
  <si>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</si>
  <si>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</si>
  <si>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</si>
  <si>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</si>
  <si>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</si>
  <si>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</si>
  <si>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</si>
  <si>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</si>
  <si>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</si>
  <si>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</si>
  <si>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</si>
  <si>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</si>
  <si>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</si>
  <si>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</si>
  <si>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</si>
  <si>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</si>
  <si>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</si>
  <si>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</si>
  <si>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</si>
  <si>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</si>
  <si>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</si>
  <si>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</si>
  <si>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</si>
  <si>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</si>
  <si>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</si>
  <si>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</si>
  <si>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</si>
  <si>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</si>
  <si>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</si>
  <si>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</si>
  <si>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</si>
  <si>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</si>
  <si>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</si>
  <si>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</si>
  <si>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</si>
  <si>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</si>
  <si>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</si>
  <si>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</si>
  <si>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</si>
  <si>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</si>
  <si>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</si>
  <si>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</si>
  <si>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</si>
  <si>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</si>
  <si>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</si>
  <si>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</si>
  <si>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</si>
  <si>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</si>
  <si>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</si>
  <si>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</si>
  <si>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</si>
  <si>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</si>
  <si>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</si>
  <si>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</si>
  <si>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</si>
  <si>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</si>
  <si>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</si>
  <si>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</si>
  <si>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</si>
  <si>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</si>
  <si>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</si>
  <si>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</si>
  <si>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</si>
  <si>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</si>
  <si>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</si>
  <si>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</si>
  <si>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</si>
  <si>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</si>
  <si>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</si>
  <si>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</si>
  <si>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</si>
  <si>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</si>
  <si>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</si>
  <si>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</si>
  <si>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</si>
  <si>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</si>
  <si>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</si>
  <si>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</si>
  <si>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</si>
  <si>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</si>
  <si>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</si>
  <si>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</si>
  <si>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</si>
  <si>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</si>
  <si>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</si>
  <si>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</si>
  <si>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</si>
  <si>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</si>
  <si>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</si>
  <si>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</si>
  <si>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</si>
  <si>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</si>
  <si>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</si>
  <si>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</si>
  <si>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</si>
  <si>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</si>
  <si>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</si>
  <si>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</si>
  <si>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</si>
  <si>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</si>
  <si>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</si>
  <si>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</si>
  <si>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</si>
  <si>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</si>
  <si>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</si>
  <si>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</si>
  <si>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</si>
  <si>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</si>
  <si>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</si>
  <si>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</si>
  <si>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</si>
  <si>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</si>
  <si>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</si>
  <si>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</si>
  <si>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</si>
  <si>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</si>
  <si>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</si>
  <si>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</si>
  <si>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</si>
  <si>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</si>
  <si>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</si>
  <si>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</si>
  <si>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</si>
  <si>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</si>
  <si>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</si>
  <si>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</si>
  <si>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</si>
  <si>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</si>
  <si>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</si>
  <si>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</si>
  <si>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</si>
  <si>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</si>
  <si>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</si>
  <si>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</si>
  <si>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</si>
  <si>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</si>
  <si>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</si>
  <si>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</si>
  <si>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</si>
  <si>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</si>
  <si>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</si>
  <si>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</si>
  <si>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</si>
  <si>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</si>
  <si>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</si>
  <si>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</si>
  <si>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</si>
  <si>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</si>
  <si>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</si>
  <si>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</si>
  <si>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</si>
  <si>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</si>
  <si>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</si>
  <si>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</si>
  <si>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</si>
  <si>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</si>
  <si>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</si>
  <si>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</si>
  <si>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</si>
  <si>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</si>
  <si>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</si>
  <si>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</si>
  <si>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</si>
  <si>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</si>
  <si>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</si>
  <si>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</si>
  <si>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</si>
  <si>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</si>
  <si>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</si>
  <si>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</si>
  <si>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</si>
  <si>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</si>
  <si>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</si>
  <si>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</si>
  <si>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</si>
  <si>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</si>
  <si>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</si>
  <si>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</si>
  <si>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</si>
  <si>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</si>
  <si>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</si>
  <si>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</si>
  <si>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</si>
  <si>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</si>
  <si>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</si>
  <si>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</si>
  <si>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</si>
  <si>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</si>
  <si>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</si>
  <si>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</si>
  <si>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</si>
  <si>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</si>
  <si>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</si>
  <si>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</si>
  <si>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</si>
  <si>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</si>
  <si>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</si>
  <si>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</si>
  <si>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</si>
  <si>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</si>
  <si>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</si>
  <si>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</si>
  <si>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</si>
  <si>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</si>
  <si>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</si>
  <si>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</si>
  <si>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</si>
  <si>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</si>
  <si>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</si>
  <si>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</si>
  <si>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</si>
  <si>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</si>
  <si>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</si>
  <si>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</si>
  <si>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</si>
  <si>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</si>
  <si>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</si>
  <si>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</si>
  <si>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</si>
  <si>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</si>
  <si>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</si>
  <si>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</si>
  <si>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</si>
  <si>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</si>
  <si>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</si>
  <si>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</si>
  <si>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</si>
  <si>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</si>
  <si>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</si>
  <si>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</si>
  <si>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</si>
  <si>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</si>
  <si>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</si>
  <si>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</si>
  <si>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</si>
  <si>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</si>
  <si>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</si>
  <si>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</si>
  <si>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</si>
  <si>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</si>
  <si>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</si>
  <si>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</si>
  <si>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</si>
  <si>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</si>
  <si>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</si>
  <si>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</si>
  <si>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</si>
  <si>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</si>
  <si>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</si>
  <si>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</si>
  <si>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</si>
  <si>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</si>
  <si>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</si>
  <si>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</si>
  <si>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</si>
  <si>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</si>
  <si>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</si>
  <si>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</si>
  <si>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</si>
  <si>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</si>
  <si>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</si>
  <si>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</si>
  <si>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</si>
  <si>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</si>
  <si>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</si>
  <si>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</si>
  <si>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</si>
  <si>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</si>
  <si>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</si>
  <si>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</si>
  <si>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</si>
  <si>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</si>
  <si>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</si>
  <si>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</si>
  <si>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</si>
  <si>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</si>
  <si>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</si>
  <si>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</si>
  <si>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</si>
  <si>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</si>
  <si>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</si>
  <si>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</si>
  <si>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</si>
  <si>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</si>
  <si>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</si>
  <si>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</si>
  <si>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</si>
  <si>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</si>
  <si>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</si>
  <si>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</si>
  <si>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</si>
  <si>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</si>
  <si>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</si>
  <si>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</si>
  <si>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</si>
  <si>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</si>
  <si>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</si>
  <si>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</si>
  <si>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</si>
  <si>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</si>
  <si>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</si>
  <si>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</si>
  <si>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</si>
  <si>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</si>
  <si>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</si>
  <si>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</si>
  <si>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</si>
  <si>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</si>
  <si>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</si>
  <si>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</si>
  <si>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</si>
  <si>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</si>
  <si>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</si>
  <si>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</si>
  <si>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</si>
  <si>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</si>
  <si>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</si>
  <si>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</si>
  <si>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</si>
  <si>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</si>
  <si>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</si>
  <si>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</si>
  <si>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</si>
  <si>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</si>
  <si>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</si>
  <si>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</si>
  <si>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</si>
  <si>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</si>
  <si>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</si>
  <si>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</si>
  <si>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</si>
  <si>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</si>
  <si>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</si>
  <si>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</si>
  <si>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</si>
  <si>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</si>
  <si>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</si>
  <si>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</si>
  <si>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</si>
  <si>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</si>
  <si>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</si>
  <si>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</si>
  <si>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</si>
  <si>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</si>
  <si>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</si>
  <si>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</si>
  <si>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</si>
  <si>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</si>
  <si>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</si>
  <si>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</si>
  <si>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</si>
  <si>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</si>
  <si>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</si>
  <si>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</si>
  <si>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</si>
  <si>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</si>
  <si>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</si>
  <si>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</si>
  <si>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</si>
  <si>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</si>
  <si>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</si>
  <si>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</si>
  <si>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</si>
  <si>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</si>
  <si>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</si>
  <si>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</si>
  <si>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</si>
  <si>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</si>
  <si>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</si>
  <si>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</si>
  <si>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</si>
  <si>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</si>
  <si>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</si>
  <si>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</si>
  <si>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</si>
  <si>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</si>
  <si>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</si>
  <si>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</si>
  <si>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</si>
  <si>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</si>
  <si>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</si>
  <si>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</si>
  <si>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</si>
  <si>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</si>
  <si>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</si>
  <si>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</si>
  <si>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</si>
  <si>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</si>
  <si>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</si>
  <si>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</si>
  <si>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</si>
  <si>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</si>
  <si>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</si>
  <si>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</si>
  <si>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</si>
  <si>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</si>
  <si>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</si>
  <si>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</si>
  <si>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</si>
  <si>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</si>
  <si>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</si>
  <si>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</si>
  <si>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</si>
  <si>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</si>
  <si>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</si>
  <si>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</si>
  <si>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</si>
  <si>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</si>
  <si>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</si>
  <si>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</si>
  <si>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</si>
  <si>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</si>
  <si>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</si>
  <si>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</si>
  <si>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</si>
  <si>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</si>
  <si>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</si>
  <si>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</si>
  <si>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</si>
  <si>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</si>
  <si>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</si>
  <si>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</si>
  <si>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</si>
  <si>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</si>
  <si>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</si>
  <si>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</si>
  <si>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</si>
  <si>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</si>
  <si>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</si>
  <si>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</si>
  <si>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</si>
  <si>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</si>
  <si>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</si>
  <si>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</si>
  <si>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</si>
  <si>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</si>
  <si>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</si>
  <si>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</si>
  <si>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</si>
  <si>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</si>
  <si>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</si>
  <si>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</si>
  <si>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</si>
  <si>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</si>
  <si>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</si>
  <si>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</si>
  <si>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</si>
  <si>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</si>
  <si>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</si>
  <si>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</si>
  <si>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</si>
  <si>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</si>
  <si>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</si>
  <si>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</si>
  <si>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</si>
  <si>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</si>
  <si>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</si>
  <si>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</si>
  <si>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</si>
  <si>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</si>
  <si>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</si>
  <si>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</si>
  <si>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</si>
  <si>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</si>
  <si>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</si>
  <si>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</si>
  <si>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</si>
  <si>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</si>
  <si>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</si>
  <si>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</si>
  <si>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</si>
  <si>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</si>
  <si>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</si>
  <si>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</si>
  <si>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</si>
  <si>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</si>
  <si>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</si>
  <si>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</si>
  <si>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</si>
  <si>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</si>
  <si>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</si>
  <si>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</si>
  <si>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</si>
  <si>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</si>
  <si>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</si>
  <si>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</si>
  <si>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</si>
  <si>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</si>
  <si>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</si>
  <si>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</si>
  <si>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</si>
  <si>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</si>
  <si>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</si>
  <si>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</si>
  <si>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</si>
  <si>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</si>
  <si>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</si>
  <si>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</si>
  <si>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</si>
  <si>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</si>
  <si>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</si>
  <si>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</si>
  <si>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</si>
  <si>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</si>
  <si>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</si>
  <si>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</si>
  <si>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</si>
  <si>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</si>
  <si>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</si>
  <si>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</si>
  <si>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</si>
  <si>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</si>
  <si>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</si>
  <si>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</si>
  <si>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</si>
  <si>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</si>
  <si>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</si>
  <si>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</si>
  <si>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</si>
  <si>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</si>
  <si>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</si>
  <si>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</si>
  <si>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</si>
  <si>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</si>
  <si>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</si>
  <si>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</si>
  <si>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</si>
  <si>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</si>
  <si>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</si>
  <si>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</si>
  <si>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</si>
  <si>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</si>
  <si>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</si>
  <si>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</si>
  <si>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</si>
  <si>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</si>
  <si>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</si>
  <si>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</si>
  <si>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</si>
  <si>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</si>
  <si>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</si>
  <si>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</si>
  <si>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</si>
  <si>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</si>
  <si>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</si>
  <si>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</si>
  <si>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</si>
  <si>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</si>
  <si>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</si>
  <si>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</si>
  <si>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</si>
  <si>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</si>
  <si>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</si>
  <si>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</si>
  <si>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</si>
  <si>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</si>
  <si>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</si>
  <si>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</si>
  <si>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</si>
  <si>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</si>
  <si>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</si>
  <si>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</si>
  <si>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</si>
  <si>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</si>
  <si>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</si>
  <si>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</si>
  <si>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</si>
  <si>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</si>
  <si>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</si>
  <si>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</si>
  <si>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</si>
  <si>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</si>
  <si>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</si>
  <si>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</si>
  <si>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</si>
  <si>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</si>
  <si>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</si>
  <si>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</si>
  <si>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</si>
  <si>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</si>
  <si>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</si>
  <si>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</si>
  <si>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</si>
  <si>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</si>
  <si>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</si>
  <si>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</si>
  <si>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</si>
  <si>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</si>
  <si>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</si>
  <si>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</si>
  <si>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</si>
  <si>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</si>
  <si>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</si>
  <si>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</si>
  <si>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</si>
  <si>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</si>
  <si>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</si>
  <si>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</si>
  <si>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</si>
  <si>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</si>
  <si>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</si>
  <si>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</si>
  <si>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</si>
  <si>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</si>
  <si>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</si>
  <si>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</si>
  <si>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</si>
  <si>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</si>
  <si>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</si>
  <si>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</si>
  <si>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</si>
  <si>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</si>
  <si>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</si>
  <si>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</si>
  <si>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</si>
  <si>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</si>
  <si>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</si>
  <si>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</si>
  <si>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</si>
  <si>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</si>
  <si>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</si>
  <si>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</si>
  <si>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</si>
  <si>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</si>
  <si>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</si>
  <si>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</si>
  <si>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</si>
  <si>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</si>
  <si>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</si>
  <si>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</si>
  <si>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</si>
  <si>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</si>
  <si>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</si>
  <si>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</si>
  <si>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</si>
  <si>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</si>
  <si>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</si>
  <si>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</si>
  <si>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</si>
  <si>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</si>
  <si>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</si>
  <si>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</si>
  <si>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</si>
  <si>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</si>
  <si>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</si>
  <si>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</si>
  <si>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</si>
  <si>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</si>
  <si>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</si>
  <si>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</si>
  <si>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</si>
  <si>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</si>
  <si>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</si>
  <si>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</si>
  <si>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</si>
  <si>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</si>
  <si>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</si>
  <si>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</si>
  <si>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</si>
  <si>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</si>
  <si>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</si>
  <si>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</si>
  <si>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</si>
  <si>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</si>
  <si>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</si>
  <si>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</si>
  <si>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</si>
  <si>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</si>
  <si>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</si>
  <si>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</si>
  <si>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</si>
  <si>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</si>
  <si>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</si>
  <si>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</si>
  <si>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</si>
  <si>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</si>
  <si>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</si>
  <si>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</si>
  <si>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</si>
  <si>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</si>
  <si>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</si>
  <si>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</si>
  <si>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</si>
  <si>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</si>
  <si>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</si>
  <si>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</si>
  <si>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</si>
  <si>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</si>
  <si>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</si>
  <si>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</si>
  <si>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</si>
  <si>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</si>
  <si>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</si>
  <si>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</si>
  <si>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</si>
  <si>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</si>
  <si>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</si>
  <si>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</si>
  <si>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</si>
  <si>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</si>
  <si>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</si>
  <si>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</si>
  <si>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</si>
  <si>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</si>
  <si>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</si>
  <si>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</si>
  <si>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</si>
  <si>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</si>
  <si>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</si>
  <si>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</si>
  <si>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</si>
  <si>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</si>
  <si>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</si>
  <si>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</si>
  <si>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</si>
  <si>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</si>
  <si>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</si>
  <si>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</si>
  <si>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</si>
  <si>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</si>
  <si>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</si>
  <si>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</si>
  <si>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</si>
  <si>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</si>
  <si>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</si>
  <si>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</si>
  <si>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</si>
  <si>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</si>
  <si>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</si>
  <si>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</si>
  <si>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</si>
  <si>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</si>
  <si>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</si>
  <si>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</si>
  <si>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</si>
  <si>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</si>
  <si>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</si>
  <si>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</si>
  <si>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</si>
  <si>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</si>
  <si>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</si>
  <si>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</si>
  <si>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</si>
  <si>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</si>
  <si>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</si>
  <si>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</si>
  <si>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</si>
  <si>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</si>
  <si>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</si>
  <si>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</si>
  <si>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</si>
  <si>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</si>
  <si>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</si>
  <si>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</si>
  <si>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</si>
  <si>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</si>
  <si>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</si>
  <si>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</si>
  <si>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</si>
  <si>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</si>
  <si>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</si>
  <si>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</si>
  <si>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</si>
  <si>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</si>
  <si>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</si>
  <si>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</si>
  <si>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</si>
  <si>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</si>
  <si>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</si>
  <si>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</si>
  <si>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</si>
  <si>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</si>
  <si>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</si>
  <si>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</si>
  <si>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</si>
  <si>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</si>
  <si>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</si>
  <si>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</si>
  <si>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</si>
  <si>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</si>
  <si>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</si>
  <si>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</si>
  <si>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</si>
  <si>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</si>
  <si>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</si>
  <si>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</si>
  <si>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</si>
  <si>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</si>
  <si>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</si>
  <si>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</si>
  <si>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</si>
  <si>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</si>
  <si>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</si>
  <si>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</si>
  <si>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</si>
  <si>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</si>
  <si>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</si>
  <si>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</si>
  <si>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</si>
  <si>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</si>
  <si>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</si>
  <si>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</si>
  <si>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</si>
  <si>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</si>
  <si>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</si>
  <si>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</si>
  <si>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</si>
  <si>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</si>
  <si>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</si>
  <si>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</si>
  <si>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</si>
  <si>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</si>
  <si>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</si>
  <si>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</si>
  <si>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</si>
  <si>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</si>
  <si>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</si>
  <si>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</si>
  <si>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</si>
  <si>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</si>
  <si>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</si>
  <si>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</si>
  <si>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</si>
  <si>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</si>
  <si>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</si>
  <si>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</si>
  <si>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</si>
  <si>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</si>
  <si>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</si>
  <si>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</si>
  <si>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</si>
  <si>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</si>
  <si>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</si>
  <si>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</si>
  <si>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</si>
  <si>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</si>
  <si>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</si>
  <si>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</si>
  <si>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</si>
  <si>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</si>
  <si>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</si>
  <si>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</si>
  <si>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</si>
  <si>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</si>
  <si>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</si>
  <si>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</si>
  <si>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</si>
  <si>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</si>
  <si>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</si>
  <si>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</si>
  <si>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</si>
  <si>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</si>
  <si>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</si>
  <si>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</si>
  <si>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</si>
  <si>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</si>
  <si>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</si>
  <si>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</si>
  <si>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</si>
  <si>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</si>
  <si>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</si>
  <si>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</si>
  <si>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</si>
  <si>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</si>
  <si>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</si>
  <si>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</si>
  <si>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</si>
  <si>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</si>
  <si>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</si>
  <si>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</si>
  <si>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</si>
  <si>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</si>
  <si>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</si>
  <si>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</si>
  <si>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</si>
  <si>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</si>
  <si>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</si>
  <si>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</si>
  <si>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</si>
  <si>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</si>
  <si>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</si>
  <si>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</si>
  <si>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</si>
  <si>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</si>
  <si>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</si>
  <si>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</si>
  <si>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</si>
  <si>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</si>
  <si>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</si>
  <si>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</si>
  <si>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</si>
  <si>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</si>
  <si>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</si>
  <si>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</si>
  <si>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</si>
  <si>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</si>
  <si>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</si>
  <si>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</si>
  <si>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</si>
  <si>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</si>
  <si>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</si>
  <si>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</si>
  <si>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</si>
  <si>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</si>
  <si>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</si>
  <si>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</si>
  <si>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</si>
  <si>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</si>
  <si>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</si>
  <si>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</si>
  <si>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</si>
  <si>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</si>
  <si>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</si>
  <si>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</si>
  <si>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</si>
  <si>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</si>
  <si>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</si>
  <si>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</si>
  <si>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</si>
  <si>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</si>
  <si>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</si>
  <si>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</si>
  <si>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</si>
  <si>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</si>
  <si>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</si>
  <si>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</si>
  <si>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</si>
  <si>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</si>
  <si>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</si>
  <si>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</si>
  <si>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</si>
  <si>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</si>
  <si>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</si>
  <si>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</si>
  <si>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</si>
  <si>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</si>
  <si>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</si>
  <si>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</si>
  <si>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</si>
  <si>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</si>
  <si>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</si>
  <si>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</si>
  <si>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</si>
  <si>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</si>
  <si>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</si>
  <si>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</si>
  <si>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</si>
  <si>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</si>
  <si>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</si>
  <si>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</si>
  <si>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</si>
  <si>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</si>
  <si>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</si>
  <si>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</si>
  <si>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</si>
  <si>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</si>
  <si>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</si>
  <si>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</si>
  <si>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</si>
  <si>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</si>
  <si>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</si>
  <si>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</si>
  <si>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</si>
  <si>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</si>
  <si>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</si>
  <si>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</si>
  <si>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</si>
  <si>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</si>
  <si>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</si>
  <si>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</si>
  <si>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</si>
  <si>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</si>
  <si>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</si>
  <si>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</si>
  <si>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</si>
  <si>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</si>
  <si>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</si>
  <si>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</si>
  <si>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</si>
  <si>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</si>
  <si>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</si>
  <si>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</si>
  <si>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</si>
  <si>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</si>
  <si>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</si>
  <si>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</si>
  <si>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</si>
  <si>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</si>
  <si>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</si>
  <si>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</si>
  <si>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</si>
  <si>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</si>
  <si>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</si>
  <si>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</si>
  <si>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</si>
  <si>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</si>
  <si>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</si>
  <si>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</si>
  <si>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</si>
  <si>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</si>
  <si>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</si>
  <si>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</si>
  <si>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</si>
  <si>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</si>
  <si>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</si>
  <si>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</si>
  <si>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</si>
  <si>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</si>
  <si>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</si>
  <si>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</si>
  <si>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</si>
  <si>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</si>
  <si>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</si>
  <si>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</si>
  <si>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</si>
  <si>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</si>
  <si>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</si>
  <si>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</si>
  <si>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</si>
  <si>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</si>
  <si>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</si>
  <si>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</si>
  <si>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</si>
  <si>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</si>
  <si>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</si>
  <si>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</si>
  <si>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</si>
  <si>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</si>
  <si>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</si>
  <si>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</si>
  <si>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</si>
  <si>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</si>
  <si>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</si>
  <si>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</si>
  <si>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</si>
  <si>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</si>
  <si>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</si>
  <si>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</si>
  <si>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</si>
  <si>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</si>
  <si>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</si>
  <si>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</si>
  <si>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</si>
  <si>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</si>
  <si>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</si>
  <si>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</si>
  <si>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</si>
  <si>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</si>
  <si>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</si>
  <si>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</si>
  <si>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</si>
  <si>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</si>
  <si>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</si>
  <si>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</si>
  <si>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</si>
  <si>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</si>
  <si>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</si>
  <si>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</si>
  <si>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</si>
  <si>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</si>
  <si>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</si>
  <si>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</si>
  <si>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</si>
  <si>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</si>
  <si>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</si>
  <si>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</si>
  <si>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</si>
  <si>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</si>
  <si>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</si>
  <si>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</si>
  <si>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</si>
  <si>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</si>
  <si>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</si>
  <si>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</si>
  <si>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</si>
  <si>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</si>
  <si>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</si>
  <si>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</si>
  <si>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</si>
  <si>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</si>
  <si>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</si>
  <si>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</si>
  <si>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</si>
  <si>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</si>
  <si>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</si>
  <si>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</si>
  <si>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</si>
  <si>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</si>
  <si>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</si>
  <si>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</si>
  <si>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</si>
  <si>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</si>
  <si>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</si>
  <si>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</si>
  <si>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</si>
  <si>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</si>
  <si>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</si>
  <si>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</si>
  <si>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</si>
  <si>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</si>
  <si>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</si>
  <si>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</si>
  <si>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</si>
  <si>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</si>
  <si>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</si>
  <si>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</si>
  <si>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</si>
  <si>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</si>
  <si>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</si>
  <si>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</si>
  <si>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</si>
  <si>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</si>
  <si>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</si>
  <si>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</si>
  <si>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</si>
  <si>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</si>
  <si>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</si>
  <si>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</si>
  <si>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</si>
  <si>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</si>
  <si>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</si>
  <si>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</si>
  <si>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</si>
  <si>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</si>
  <si>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</si>
  <si>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</si>
  <si>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</si>
  <si>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</si>
  <si>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</si>
  <si>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</si>
  <si>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</si>
  <si>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</si>
  <si>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</si>
  <si>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</si>
  <si>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</si>
  <si>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</si>
  <si>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</si>
  <si>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</si>
  <si>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</si>
  <si>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</si>
  <si>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</si>
  <si>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</si>
  <si>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</si>
  <si>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</si>
  <si>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</si>
  <si>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</si>
  <si>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</si>
  <si>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</si>
  <si>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</si>
  <si>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</si>
  <si>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</si>
  <si>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</si>
  <si>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</si>
  <si>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</si>
  <si>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</si>
  <si>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</si>
  <si>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</si>
  <si>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</si>
  <si>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</si>
  <si>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</si>
  <si>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</si>
  <si>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</si>
  <si>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</si>
  <si>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</si>
  <si>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</si>
  <si>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</si>
  <si>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</si>
  <si>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</si>
  <si>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</si>
  <si>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</si>
  <si>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</si>
  <si>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</si>
  <si>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</si>
  <si>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</si>
  <si>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</si>
  <si>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</si>
  <si>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</si>
  <si>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</si>
  <si>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</si>
  <si>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</si>
  <si>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</si>
  <si>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</si>
  <si>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</si>
  <si>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</si>
  <si>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</si>
  <si>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</si>
  <si>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</si>
  <si>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</si>
  <si>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</si>
  <si>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</si>
  <si>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</si>
  <si>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</si>
  <si>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</si>
  <si>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</si>
  <si>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</si>
  <si>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</si>
  <si>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</si>
  <si>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</si>
  <si>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</si>
  <si>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</si>
  <si>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</si>
  <si>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</si>
  <si>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</si>
  <si>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</si>
  <si>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</si>
  <si>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</si>
  <si>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</si>
  <si>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</si>
  <si>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</si>
  <si>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</si>
  <si>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</si>
  <si>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</si>
  <si>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</si>
  <si>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</si>
  <si>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</si>
  <si>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</si>
  <si>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</si>
  <si>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</si>
  <si>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</si>
  <si>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</si>
  <si>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</si>
  <si>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</si>
  <si>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</si>
  <si>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</si>
  <si>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</si>
  <si>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</si>
  <si>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</si>
  <si>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</si>
  <si>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</si>
  <si>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</si>
  <si>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</si>
  <si>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</si>
  <si>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</si>
  <si>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</si>
  <si>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</si>
  <si>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</si>
  <si>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</si>
  <si>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</si>
  <si>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</si>
  <si>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</si>
  <si>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</si>
  <si>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</si>
  <si>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</si>
  <si>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</si>
  <si>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</si>
  <si>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</si>
  <si>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</si>
  <si>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</si>
  <si>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</si>
  <si>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</si>
  <si>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</si>
  <si>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</si>
  <si>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</si>
  <si>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</si>
  <si>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</si>
  <si>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</si>
  <si>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</si>
  <si>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</si>
  <si>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</si>
  <si>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</si>
  <si>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</si>
  <si>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</si>
  <si>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</si>
  <si>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</si>
  <si>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</si>
  <si>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</si>
  <si>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</si>
  <si>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</si>
  <si>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</si>
  <si>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</si>
  <si>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</si>
  <si>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</si>
  <si>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</si>
  <si>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</si>
  <si>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</si>
  <si>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</si>
  <si>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</si>
  <si>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</si>
  <si>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</si>
  <si>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</si>
  <si>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</si>
  <si>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</si>
  <si>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</si>
  <si>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</si>
  <si>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</si>
  <si>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</si>
  <si>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</si>
  <si>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</si>
  <si>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</si>
  <si>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</si>
  <si>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</si>
  <si>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</si>
  <si>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</si>
  <si>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</si>
  <si>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</si>
  <si>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</si>
  <si>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</si>
  <si>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</si>
  <si>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</si>
  <si>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</si>
  <si>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</si>
  <si>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</si>
  <si>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</si>
  <si>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</si>
  <si>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</si>
  <si>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</si>
  <si>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</si>
  <si>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</si>
  <si>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</si>
  <si>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</si>
  <si>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</si>
  <si>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</si>
  <si>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</si>
  <si>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</si>
  <si>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</si>
  <si>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</si>
  <si>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</si>
  <si>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</si>
  <si>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</si>
  <si>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</si>
  <si>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</si>
  <si>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</si>
  <si>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</si>
  <si>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</si>
  <si>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</si>
  <si>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</si>
  <si>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</si>
  <si>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</si>
  <si>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</si>
  <si>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</si>
  <si>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</si>
  <si>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</si>
  <si>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</si>
  <si>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</si>
  <si>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</si>
  <si>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</si>
  <si>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</si>
  <si>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</si>
  <si>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</si>
  <si>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</si>
  <si>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</si>
  <si>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</si>
  <si>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</si>
  <si>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</si>
  <si>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用地代码</t>
    <rPh sb="0" eb="1">
      <t>yong di</t>
    </rPh>
    <rPh sb="2" eb="3">
      <t>dai ma</t>
    </rPh>
    <phoneticPr fontId="134" type="noConversion"/>
  </si>
  <si>
    <t>地块编号</t>
  </si>
  <si>
    <t>地块编号</t>
    <rPh sb="0" eb="1">
      <t>di kuai</t>
    </rPh>
    <rPh sb="2" eb="3">
      <t>bian hao</t>
    </rPh>
    <phoneticPr fontId="134" type="noConversion"/>
  </si>
  <si>
    <t>用地面积（ha）</t>
    <rPh sb="2" eb="3">
      <t>mian ji</t>
    </rPh>
    <phoneticPr fontId="134" type="noConversion"/>
  </si>
  <si>
    <t>容积率（%）</t>
    <rPh sb="0" eb="1">
      <t>rong ji lü</t>
    </rPh>
    <phoneticPr fontId="134" type="noConversion"/>
  </si>
  <si>
    <t>建筑规模（万平方米)</t>
    <rPh sb="0" eb="1">
      <t>jian zhu</t>
    </rPh>
    <rPh sb="2" eb="3">
      <t>gui mo</t>
    </rPh>
    <rPh sb="5" eb="6">
      <t>wan</t>
    </rPh>
    <rPh sb="6" eb="7">
      <t>ping fang mi</t>
    </rPh>
    <phoneticPr fontId="134" type="noConversion"/>
  </si>
  <si>
    <t>建筑限高（米）</t>
    <rPh sb="2" eb="3">
      <t>xian gao</t>
    </rPh>
    <phoneticPr fontId="134" type="noConversion"/>
  </si>
  <si>
    <t>绿地率（%）</t>
    <rPh sb="1" eb="2">
      <t>di</t>
    </rPh>
    <phoneticPr fontId="134" type="noConversion"/>
  </si>
  <si>
    <t>备注</t>
    <rPh sb="0" eb="1">
      <t>bei zhu</t>
    </rPh>
    <phoneticPr fontId="134" type="noConversion"/>
  </si>
  <si>
    <t>YZ00-0803-2006</t>
    <phoneticPr fontId="134" type="noConversion"/>
  </si>
  <si>
    <t>关于瀛海镇区级统筹集建地YZ00-0803-2006等地块共有产权房项目综合实施方案“多规合一”协同平台初审意见的函</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</si>
  <si>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YZ00-0803-2019</t>
    <phoneticPr fontId="134" type="noConversion"/>
  </si>
  <si>
    <t>YZ00-0803-2029</t>
    <phoneticPr fontId="134" type="noConversion"/>
  </si>
  <si>
    <t>YZ00-0803-2031</t>
    <phoneticPr fontId="134" type="noConversion"/>
  </si>
  <si>
    <t>YZ00-0803-2057</t>
    <phoneticPr fontId="134" type="noConversion"/>
  </si>
  <si>
    <t>F81</t>
    <phoneticPr fontId="134" type="noConversion"/>
  </si>
  <si>
    <t>绿隔产业用地</t>
    <rPh sb="2" eb="3">
      <t>chan ye</t>
    </rPh>
    <rPh sb="4" eb="5">
      <t>yong di</t>
    </rPh>
    <phoneticPr fontId="134" type="noConversion"/>
  </si>
  <si>
    <t>建设共有产权房，配建社区养老驿站500平方米，社区商业网点1000平方米，公共厕所70平方米。（全部为建筑规模）</t>
    <rPh sb="0" eb="1">
      <t>jian she</t>
    </rPh>
    <rPh sb="2" eb="3">
      <t>gong you cahn quan</t>
    </rPh>
    <rPh sb="6" eb="7">
      <t>fang</t>
    </rPh>
    <rPh sb="8" eb="9">
      <t>pei jian</t>
    </rPh>
    <rPh sb="9" eb="10">
      <t>jian</t>
    </rPh>
    <rPh sb="10" eb="11">
      <t>she qu</t>
    </rPh>
    <rPh sb="12" eb="13">
      <t>yang lao</t>
    </rPh>
    <rPh sb="14" eb="15">
      <t>yi zhan</t>
    </rPh>
    <rPh sb="19" eb="20">
      <t>ping fng mi</t>
    </rPh>
    <rPh sb="23" eb="24">
      <t>she qu</t>
    </rPh>
    <rPh sb="25" eb="26">
      <t>shang ye</t>
    </rPh>
    <rPh sb="27" eb="28">
      <t>wang dian</t>
    </rPh>
    <rPh sb="33" eb="34">
      <t>ping fang mi</t>
    </rPh>
    <rPh sb="37" eb="38">
      <t>gong gong</t>
    </rPh>
    <rPh sb="39" eb="40">
      <t>ce suo</t>
    </rPh>
    <rPh sb="43" eb="44">
      <t>ping fang m</t>
    </rPh>
    <rPh sb="48" eb="49">
      <t>quan bu</t>
    </rPh>
    <rPh sb="50" eb="51">
      <t>wei</t>
    </rPh>
    <rPh sb="51" eb="52">
      <t>jian zhu</t>
    </rPh>
    <rPh sb="53" eb="54">
      <t>gui mo</t>
    </rPh>
    <phoneticPr fontId="134" type="noConversion"/>
  </si>
  <si>
    <t>建设共有产权房</t>
    <phoneticPr fontId="134" type="noConversion"/>
  </si>
  <si>
    <t>建设共有产权房，配建固定通信机房70平方米，宏蜂窝基站机房70平方米，有线电视机房50平方米，公共厕所70平方米，密闭式垃圾分类收集站280平方米。（全部为建筑规模）</t>
    <rPh sb="0" eb="1">
      <t>jian she</t>
    </rPh>
    <rPh sb="2" eb="3">
      <t>gong you cahn quan</t>
    </rPh>
    <rPh sb="6" eb="7">
      <t>fang</t>
    </rPh>
    <rPh sb="8" eb="9">
      <t>pei jian</t>
    </rPh>
    <rPh sb="9" eb="10">
      <t>jian</t>
    </rPh>
    <rPh sb="10" eb="11">
      <t>gu ding</t>
    </rPh>
    <rPh sb="12" eb="13">
      <t>tong xin</t>
    </rPh>
    <rPh sb="14" eb="15">
      <t>ji fang</t>
    </rPh>
    <rPh sb="18" eb="19">
      <t>ping fng mi</t>
    </rPh>
    <rPh sb="22" eb="23">
      <t>hong feng wo</t>
    </rPh>
    <rPh sb="25" eb="26">
      <t>ji zhan</t>
    </rPh>
    <rPh sb="27" eb="28">
      <t>ji fang</t>
    </rPh>
    <rPh sb="31" eb="32">
      <t>ping fang mi</t>
    </rPh>
    <rPh sb="35" eb="36">
      <t>you xian</t>
    </rPh>
    <rPh sb="36" eb="37">
      <t>xian</t>
    </rPh>
    <rPh sb="37" eb="38">
      <t>dian shi ji</t>
    </rPh>
    <rPh sb="40" eb="41">
      <t>fang</t>
    </rPh>
    <rPh sb="43" eb="44">
      <t>ping fang mi</t>
    </rPh>
    <rPh sb="47" eb="48">
      <t>gong gong ce suo</t>
    </rPh>
    <rPh sb="53" eb="54">
      <t>ping fang m</t>
    </rPh>
    <rPh sb="57" eb="58">
      <t>mi bi shi</t>
    </rPh>
    <rPh sb="60" eb="61">
      <t>la ji</t>
    </rPh>
    <rPh sb="62" eb="63">
      <t>fen lei</t>
    </rPh>
    <rPh sb="64" eb="65">
      <t>shou ji zhan</t>
    </rPh>
    <rPh sb="70" eb="71">
      <t>ping fang mi</t>
    </rPh>
    <rPh sb="75" eb="76">
      <t>quan bu</t>
    </rPh>
    <rPh sb="77" eb="78">
      <t>wei</t>
    </rPh>
    <rPh sb="78" eb="79">
      <t>jian zhu</t>
    </rPh>
    <rPh sb="80" eb="81">
      <t>gui mo</t>
    </rPh>
    <phoneticPr fontId="134" type="noConversion"/>
  </si>
  <si>
    <t>合计</t>
    <rPh sb="0" eb="1">
      <t>he ji</t>
    </rPh>
    <phoneticPr fontId="134" type="noConversion"/>
  </si>
  <si>
    <t>-</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</si>
  <si>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</si>
  <si>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</si>
  <si>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</si>
  <si>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</si>
  <si>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</si>
  <si>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</si>
  <si>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</si>
  <si>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</si>
  <si>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</si>
  <si>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</si>
  <si>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</si>
  <si>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</si>
  <si>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</si>
  <si>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</si>
  <si>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</si>
  <si>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</si>
  <si>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</si>
  <si>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</si>
  <si>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</si>
  <si>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</si>
  <si>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</si>
  <si>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</si>
  <si>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</si>
  <si>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</si>
  <si>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</si>
  <si>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</si>
  <si>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</si>
  <si>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</si>
  <si>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</si>
  <si>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</si>
  <si>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北京城建北方瀛海国际人才公寓1号地</t>
    <phoneticPr fontId="134" type="noConversion"/>
  </si>
  <si>
    <t>北京市大兴区瀛海镇集体经营性建设用地入市试点(一期) YZ00-0803-0012 地块</t>
    <phoneticPr fontId="134" type="noConversion"/>
  </si>
  <si>
    <t>YZ00-0803-0012</t>
  </si>
  <si>
    <t xml:space="preserve"> 住宅用地</t>
  </si>
  <si>
    <t xml:space="preserve"> 挂牌</t>
  </si>
  <si>
    <t xml:space="preserve"> F81绿隔产业用地(建设人才公寓)</t>
    <phoneticPr fontId="134" type="noConversion"/>
  </si>
  <si>
    <t xml:space="preserve">-- </t>
  </si>
  <si>
    <t xml:space="preserve"> 已成交</t>
  </si>
  <si>
    <t xml:space="preserve"> 北京博大新元房地产开发有限公司  </t>
  </si>
  <si>
    <t>50年</t>
    <phoneticPr fontId="134" type="noConversion"/>
  </si>
  <si>
    <t>北京市大兴区魏善庄镇集体经营性建设用地(北部组团)项目DX07-0303-0009地块</t>
    <phoneticPr fontId="134" type="noConversion"/>
  </si>
  <si>
    <t>京土集使挂(兴)[2021]001号</t>
  </si>
  <si>
    <t xml:space="preserve"> 其它用地</t>
  </si>
  <si>
    <t xml:space="preserve"> ≤2.2</t>
  </si>
  <si>
    <t xml:space="preserve"> F81绿隔产业用地</t>
  </si>
  <si>
    <t xml:space="preserve"> 北京兴瑞众信投资管理有限公司  </t>
  </si>
  <si>
    <t>2021-07-29 17:00</t>
  </si>
  <si>
    <t>兴海星光里（南五环外，京台高速西侧）</t>
    <phoneticPr fontId="134" type="noConversion"/>
  </si>
  <si>
    <t>集体建设用地区级统筹大兴区瀛海镇YZ00-0803-2009、2012A、2012B、2015地块</t>
    <phoneticPr fontId="134" type="noConversion"/>
  </si>
  <si>
    <t>京土集使挂(兴)[2019]001号</t>
  </si>
  <si>
    <t xml:space="preserve"> 综合用地(含住宅)</t>
  </si>
  <si>
    <t xml:space="preserve"> f81≤2.5</t>
  </si>
  <si>
    <t xml:space="preserve"> 中建三局房地产开发有限公司 、湖北省鄂旅投置业集团有限公司  </t>
    <phoneticPr fontId="134" type="noConversion"/>
  </si>
  <si>
    <t>北投如郡（南五环外，京台高速西侧）</t>
    <phoneticPr fontId="134" type="noConversion"/>
  </si>
  <si>
    <t>集体建设用地区级统筹大兴区瀛海镇YZ00-0803-2003、2004、2005A、2005B、2008地块</t>
    <phoneticPr fontId="134" type="noConversion"/>
  </si>
  <si>
    <t>京土集使挂(兴)[2019]003号</t>
  </si>
  <si>
    <t xml:space="preserve"> F81绿隔产业用地(建设共有产权房)</t>
    <phoneticPr fontId="134" type="noConversion"/>
  </si>
  <si>
    <t xml:space="preserve"> 北京北投如郡房地产开发有限公司  </t>
    <phoneticPr fontId="134" type="noConversion"/>
  </si>
  <si>
    <t>2020-12-24 17:00</t>
  </si>
  <si>
    <t>槐房西路西侧（南五环内）40年</t>
    <phoneticPr fontId="134" type="noConversion"/>
  </si>
  <si>
    <t>北京市大兴区西红门镇集体经营性建设用地2号地D地块</t>
    <phoneticPr fontId="134" type="noConversion"/>
  </si>
  <si>
    <t>京土集使挂(兴)[2020]003号</t>
  </si>
  <si>
    <t xml:space="preserve"> 中节能首座(北京)建设有限公司  </t>
  </si>
  <si>
    <t>2020-12-23 17:00</t>
  </si>
  <si>
    <t>狼垡东桥东南侧（南五环边）50年</t>
    <phoneticPr fontId="134" type="noConversion"/>
  </si>
  <si>
    <t>北京市大兴区黄村镇狼垡地区集体产业用地2号地DX00-1002-L06地块</t>
    <phoneticPr fontId="134" type="noConversion"/>
  </si>
  <si>
    <t>京土集使挂(兴)[2020]001号</t>
  </si>
  <si>
    <t xml:space="preserve"> ≤2.5</t>
  </si>
  <si>
    <t xml:space="preserve"> F81绿隔产业用地</t>
    <phoneticPr fontId="134" type="noConversion"/>
  </si>
  <si>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</si>
  <si>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</si>
  <si>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</si>
  <si>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</si>
  <si>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</si>
  <si>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</si>
  <si>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</si>
  <si>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正商杏海苑（南五环外，京台高速西侧）</t>
    <phoneticPr fontId="134" type="noConversion"/>
  </si>
  <si>
    <t>集体建设用地区级统筹大兴区瀛海镇YZ00-0803-2010、2013A、2013B、2014、2016地块</t>
    <phoneticPr fontId="134" type="noConversion"/>
  </si>
  <si>
    <t>京土集使挂(兴)[2019]002号</t>
  </si>
  <si>
    <t xml:space="preserve"> 北京上瑞置业有限公司  </t>
    <phoneticPr fontId="134" type="noConversion"/>
  </si>
  <si>
    <t>人才公寓</t>
    <phoneticPr fontId="134" type="noConversion"/>
  </si>
  <si>
    <t>北京市大兴区西红门镇集体经营性建设用地入市试点2号地C地块(2-006-1)F81绿隔产业用地</t>
    <phoneticPr fontId="134" type="noConversion"/>
  </si>
  <si>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</si>
  <si>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</si>
  <si>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</si>
  <si>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集体建设用地区级统筹大兴区瀛海镇YZ00-0803-2009、2012A、2012B、2015地块</t>
  </si>
  <si>
    <t>京土集使挂(兴)[2018]003号</t>
  </si>
  <si>
    <t xml:space="preserve"> F81绿隔产业用地(建设共有产权住房)</t>
  </si>
  <si>
    <t xml:space="preserve"> 中止交易</t>
  </si>
  <si>
    <t>集体建设用地区级统筹大兴区瀛海镇YZ00-0803-2010、2013A、2013B、2014、2016地块</t>
  </si>
  <si>
    <t>京土集使挂(兴)[2018]004号</t>
  </si>
  <si>
    <t>集体建设用地区级统筹大兴区瀛海镇YZ00-0803-2003、2004、2005A、2005B、2008地块</t>
  </si>
  <si>
    <t>京土集使挂(兴)[2018]005号</t>
  </si>
  <si>
    <t>中建鄂旅投·星光里</t>
    <phoneticPr fontId="134" type="noConversion"/>
  </si>
  <si>
    <t>北投如郡嘉园</t>
    <phoneticPr fontId="134" type="noConversion"/>
  </si>
  <si>
    <t>正商杏海苑</t>
    <phoneticPr fontId="134" type="noConversion"/>
  </si>
  <si>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</si>
  <si>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</si>
  <si>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</si>
  <si>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</si>
  <si>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</si>
  <si>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</si>
  <si>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</si>
  <si>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</si>
  <si>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</si>
  <si>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</si>
  <si>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</si>
  <si>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</si>
  <si>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</si>
  <si>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</si>
  <si>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估价对象所在区域基础设施水平-六通</t>
    <phoneticPr fontId="24" type="noConversion"/>
  </si>
  <si>
    <t>周边3公里范围内有南海子公园、志远庄公园等自然景观，人文景观较少，综合评价环境状况一般</t>
    <phoneticPr fontId="40"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</si>
  <si>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</si>
  <si>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</si>
  <si>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</si>
  <si>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</si>
  <si>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</si>
  <si>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</si>
  <si>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</si>
  <si>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</si>
  <si>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</si>
  <si>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</si>
  <si>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</si>
  <si>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</si>
  <si>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</si>
  <si>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</si>
  <si>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</si>
  <si>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</si>
  <si>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</si>
  <si>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</si>
  <si>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</si>
  <si>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</si>
  <si>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</si>
  <si>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</si>
  <si>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</si>
  <si>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</si>
  <si>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</si>
  <si>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六通</t>
  </si>
  <si>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</si>
  <si>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</si>
  <si>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</si>
  <si>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</si>
  <si>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</si>
  <si>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</si>
  <si>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</si>
  <si>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</si>
  <si>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</si>
  <si>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</si>
  <si>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</si>
  <si>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2019-2</t>
    <phoneticPr fontId="3" type="noConversion"/>
  </si>
  <si>
    <t>季度</t>
    <rPh sb="0" eb="1">
      <t>ji du</t>
    </rPh>
    <phoneticPr fontId="3" type="noConversion"/>
  </si>
  <si>
    <t>售价</t>
  </si>
  <si>
    <t>关于瀛海镇区级统筹集建地YZ00-0803-2006等地块共有产权房项目</t>
    <phoneticPr fontId="3" type="noConversion"/>
  </si>
  <si>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</si>
  <si>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</si>
  <si>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</si>
  <si>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</si>
  <si>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</si>
  <si>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</si>
  <si>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</si>
  <si>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</si>
  <si>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</si>
  <si>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</si>
  <si>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</si>
  <si>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</si>
  <si>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</si>
  <si>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</si>
  <si>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</si>
  <si>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</si>
  <si>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</si>
  <si>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</si>
  <si>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</si>
  <si>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</si>
  <si>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</si>
  <si>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</si>
  <si>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</si>
  <si>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</si>
  <si>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</si>
  <si>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</si>
  <si>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</si>
  <si>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</si>
  <si>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</si>
  <si>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</si>
  <si>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</si>
  <si>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</si>
  <si>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套型总建筑面积原则上不超过120平方米，严格限制套型总建筑面积在60平方米以下的套型比例</t>
    <phoneticPr fontId="24" type="noConversion"/>
  </si>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</sst>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78">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79998168889431442"/>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9" fillId="9" borderId="1" xfId="0" applyFont="1" applyFill="1" applyBorder="1" applyAlignment="1" applyProtection="1">
      <alignment horizontal="center" vertical="center"/>
    </xf>
    <xf numFmtId="177" fontId="139" fillId="9" borderId="1" xfId="1" applyNumberFormat="1" applyFont="1" applyFill="1" applyBorder="1" applyAlignment="1" applyProtection="1">
      <alignment horizontal="center"/>
    </xf>
    <xf numFmtId="10" fontId="139" fillId="9" borderId="1" xfId="0" applyNumberFormat="1" applyFont="1" applyFill="1" applyBorder="1" applyAlignment="1" applyProtection="1">
      <alignment horizontal="center" vertical="center"/>
    </xf>
    <xf numFmtId="0" fontId="107" fillId="0" borderId="0" xfId="0" applyFont="1" applyAlignment="1"/>
    <xf numFmtId="14" fontId="269" fillId="22" borderId="0" xfId="0" applyNumberFormat="1" applyFont="1" applyFill="1" applyAlignment="1"/>
    <xf numFmtId="0" fontId="269" fillId="0" borderId="0" xfId="0" applyFont="1" applyAlignment="1"/>
    <xf numFmtId="14" fontId="269" fillId="0" borderId="0" xfId="0" applyNumberFormat="1" applyFont="1" applyAlignment="1"/>
    <xf numFmtId="14" fontId="269" fillId="23" borderId="0" xfId="0" applyNumberFormat="1" applyFont="1" applyFill="1" applyAlignment="1"/>
    <xf numFmtId="14" fontId="269" fillId="7" borderId="0" xfId="0" applyNumberFormat="1" applyFont="1" applyFill="1" applyAlignment="1"/>
    <xf numFmtId="14" fontId="107" fillId="0" borderId="0" xfId="0" applyNumberFormat="1" applyFont="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46" fillId="0" borderId="0" xfId="19" applyFont="1"/>
    <xf numFmtId="14" fontId="274" fillId="0" borderId="0" xfId="19" applyNumberFormat="1" applyFont="1"/>
    <xf numFmtId="0" fontId="274" fillId="0" borderId="0" xfId="19" applyFont="1"/>
    <xf numFmtId="14" fontId="246" fillId="0" borderId="0" xfId="19" applyNumberFormat="1" applyFont="1"/>
    <xf numFmtId="0" fontId="246" fillId="5" borderId="0" xfId="19" applyFont="1" applyFill="1"/>
    <xf numFmtId="14" fontId="246" fillId="5" borderId="0" xfId="19" applyNumberFormat="1" applyFont="1" applyFill="1"/>
    <xf numFmtId="0" fontId="274" fillId="5" borderId="0" xfId="19" applyFont="1" applyFill="1"/>
    <xf numFmtId="14" fontId="274" fillId="5" borderId="0" xfId="19" applyNumberFormat="1" applyFont="1" applyFill="1"/>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A036AC89-D367-420E-8712-23E8F1213307}"/>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136836</xdr:rowOff>
    </xdr:from>
    <xdr:to>
      <xdr:col>7</xdr:col>
      <xdr:colOff>495300</xdr:colOff>
      <xdr:row>43</xdr:row>
      <xdr:rowOff>56469</xdr:rowOff>
    </xdr:to>
    <xdr:pic>
      <xdr:nvPicPr>
        <xdr:cNvPr id="2" name="图片 1">
          <a:extLst>
            <a:ext uri="{FF2B5EF4-FFF2-40B4-BE49-F238E27FC236}">
              <a16:creationId xmlns:a16="http://schemas.microsoft.com/office/drawing/2014/main" id="{6AB41C77-FAEB-4DD1-9FDA-C1BCD2342D11}"/>
            </a:ext>
          </a:extLst>
        </xdr:cNvPr>
        <xdr:cNvPicPr>
          <a:picLocks noChangeAspect="1"/>
        </xdr:cNvPicPr>
      </xdr:nvPicPr>
      <xdr:blipFill>
        <a:blip xmlns:r="http://schemas.openxmlformats.org/officeDocument/2006/relationships" r:embed="rId1"/>
        <a:stretch>
          <a:fillRect/>
        </a:stretch>
      </xdr:blipFill>
      <xdr:spPr>
        <a:xfrm>
          <a:off x="0" y="2708586"/>
          <a:ext cx="6286500" cy="62537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139700</xdr:rowOff>
    </xdr:from>
    <xdr:to>
      <xdr:col>14</xdr:col>
      <xdr:colOff>497238</xdr:colOff>
      <xdr:row>23</xdr:row>
      <xdr:rowOff>127000</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0" y="2387600"/>
          <a:ext cx="9260238" cy="1616075"/>
        </a:xfrm>
        <a:prstGeom prst="rect">
          <a:avLst/>
        </a:prstGeom>
      </xdr:spPr>
    </xdr:pic>
    <xdr:clientData/>
  </xdr:twoCellAnchor>
  <xdr:twoCellAnchor editAs="oneCell">
    <xdr:from>
      <xdr:col>0</xdr:col>
      <xdr:colOff>0</xdr:colOff>
      <xdr:row>25</xdr:row>
      <xdr:rowOff>85724</xdr:rowOff>
    </xdr:from>
    <xdr:to>
      <xdr:col>15</xdr:col>
      <xdr:colOff>94079</xdr:colOff>
      <xdr:row>54</xdr:row>
      <xdr:rowOff>149224</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4324349"/>
          <a:ext cx="9695279" cy="5311775"/>
        </a:xfrm>
        <a:prstGeom prst="rect">
          <a:avLst/>
        </a:prstGeom>
      </xdr:spPr>
    </xdr:pic>
    <xdr:clientData/>
  </xdr:twoCellAnchor>
  <xdr:twoCellAnchor editAs="oneCell">
    <xdr:from>
      <xdr:col>10</xdr:col>
      <xdr:colOff>600075</xdr:colOff>
      <xdr:row>25</xdr:row>
      <xdr:rowOff>114300</xdr:rowOff>
    </xdr:from>
    <xdr:to>
      <xdr:col>19</xdr:col>
      <xdr:colOff>818389</xdr:colOff>
      <xdr:row>37</xdr:row>
      <xdr:rowOff>152124</xdr:rowOff>
    </xdr:to>
    <xdr:pic>
      <xdr:nvPicPr>
        <xdr:cNvPr id="4" name="图片 3">
          <a:extLst>
            <a:ext uri="{FF2B5EF4-FFF2-40B4-BE49-F238E27FC236}">
              <a16:creationId xmlns:a16="http://schemas.microsoft.com/office/drawing/2014/main" id="{59FE631F-DF2F-4DE8-A065-092DF42B60EE}"/>
            </a:ext>
          </a:extLst>
        </xdr:cNvPr>
        <xdr:cNvPicPr>
          <a:picLocks noChangeAspect="1"/>
        </xdr:cNvPicPr>
      </xdr:nvPicPr>
      <xdr:blipFill>
        <a:blip xmlns:r="http://schemas.openxmlformats.org/officeDocument/2006/relationships" r:embed="rId3"/>
        <a:stretch>
          <a:fillRect/>
        </a:stretch>
      </xdr:blipFill>
      <xdr:spPr>
        <a:xfrm>
          <a:off x="7686675" y="4352925"/>
          <a:ext cx="6085714" cy="2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汇总表"/>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6.5" thickTop="1">
      <c r="A2" s="1194" t="s">
        <v>522</v>
      </c>
      <c r="B2" s="1195" t="str">
        <f>'预评函-封皮'!B37:I37</f>
        <v>北京市房地产市场价值预评估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5" thickBot="1">
      <c r="A5" s="1200" t="s">
        <v>525</v>
      </c>
      <c r="B5" s="1201" t="str">
        <f>'预评函-封皮'!B49</f>
        <v>康正预评字号</v>
      </c>
    </row>
    <row r="6" spans="1:2" s="1196" customFormat="1" ht="16.5" thickTop="1">
      <c r="A6" s="1194" t="s">
        <v>526</v>
      </c>
      <c r="B6" s="1195" t="str">
        <f>'预评函-1'!A4</f>
        <v>受贵公司委托，我公司对北京市房地产市场价值进行了预评估。</v>
      </c>
    </row>
    <row r="7" spans="1:2" s="1199" customFormat="1">
      <c r="A7" s="1197" t="s">
        <v>566</v>
      </c>
      <c r="B7" s="1198" t="str">
        <f>'预评函-1'!A7</f>
        <v>估价对象为北京市房地产，为所有。根据《国有土地使用证》[]，估价对象（分摊）出让国有建设用地使用权面积为0.45平方米，建筑面积为1平方米。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估价对象为北京市房地产,属开发建设的，该项目尚在开发建设中。根据《国有土地使用证》[]，估价对象（分摊）出让国有建设用地使用权面积为0.45平方米，规划建筑面积为1平方米。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2023年2月13日（评估专业人员实地查勘之日）</v>
      </c>
    </row>
    <row r="13" spans="1:2" s="1199" customFormat="1">
      <c r="A13" s="1197" t="s">
        <v>529</v>
      </c>
      <c r="B13" s="1198" t="str">
        <f>'预评函-1'!A18</f>
        <v>本次估价的“房地产价值”是指在正常市场情况下，在价值时点2023年2月13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6.5" thickBot="1">
      <c r="A18" s="1200" t="s">
        <v>534</v>
      </c>
      <c r="B18" s="1201" t="str">
        <f>'预评函-1'!A24</f>
        <v>本次评估采用的主估价方法为成本法和比较法。</v>
      </c>
    </row>
    <row r="19" spans="1:2" s="1196" customFormat="1" ht="16.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f ca="1">'预评函-2'!D5</f>
        <v>3</v>
      </c>
    </row>
    <row r="21" spans="1:2" s="1199" customFormat="1">
      <c r="A21" s="1197" t="s">
        <v>537</v>
      </c>
      <c r="B21" s="1198">
        <f ca="1">'预评函-2'!D7</f>
        <v>29162</v>
      </c>
    </row>
    <row r="22" spans="1:2" s="1199" customFormat="1">
      <c r="A22" s="1197" t="s">
        <v>538</v>
      </c>
      <c r="B22" s="1198" t="str">
        <f ca="1">'预评函-2'!D6</f>
        <v>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v>
      </c>
    </row>
    <row r="31" spans="1:2" s="1199" customFormat="1">
      <c r="A31" s="1197" t="s">
        <v>576</v>
      </c>
      <c r="B31" s="1198">
        <f ca="1">'预评函-2'!D15</f>
        <v>29162</v>
      </c>
    </row>
    <row r="32" spans="1:2" s="1199" customFormat="1">
      <c r="A32" s="1197" t="s">
        <v>543</v>
      </c>
      <c r="B32" s="1198" t="str">
        <f ca="1">'预评函-2'!D14</f>
        <v>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v>
      </c>
    </row>
    <row r="44" spans="1:2" s="1199" customFormat="1">
      <c r="A44" s="1197" t="s">
        <v>575</v>
      </c>
      <c r="B44" s="1198" t="str">
        <f>'预评函-3'!C2</f>
        <v>(分摊)土地面积</v>
      </c>
    </row>
    <row r="45" spans="1:2" s="1199" customFormat="1">
      <c r="A45" s="1197" t="s">
        <v>547</v>
      </c>
      <c r="B45" s="1198">
        <f>'预评函-3'!C4</f>
        <v>0.45</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6.5" thickBot="1">
      <c r="A57" s="1200" t="s">
        <v>599</v>
      </c>
      <c r="B57" s="1201" t="str">
        <f>'预评函-3'!A6</f>
        <v/>
      </c>
    </row>
    <row r="58" spans="1:2" s="1196" customFormat="1" ht="16.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5" thickBot="1">
      <c r="A69" s="1200" t="s">
        <v>561</v>
      </c>
      <c r="B69" s="1202">
        <f>'预评函-4'!C31</f>
        <v>42551</v>
      </c>
    </row>
    <row r="70" spans="1:2" ht="16.5" thickTop="1">
      <c r="A70" s="1203" t="s">
        <v>562</v>
      </c>
      <c r="B70" s="1204">
        <f>'预评函-4'!A4</f>
        <v>0</v>
      </c>
    </row>
    <row r="71" spans="1:2">
      <c r="A71" s="1197" t="s">
        <v>563</v>
      </c>
      <c r="B71" s="1198">
        <f>'预评函-4'!B4</f>
        <v>0</v>
      </c>
    </row>
    <row r="72" spans="1:2">
      <c r="A72" s="1197" t="s">
        <v>564</v>
      </c>
      <c r="B72" s="1206">
        <f>'预评函-4'!A5</f>
        <v>0</v>
      </c>
    </row>
    <row r="73" spans="1:2" s="1193" customFormat="1" ht="16.5" thickBot="1">
      <c r="A73" s="1200" t="s">
        <v>565</v>
      </c>
      <c r="B73" s="1201">
        <f>'预评函-4'!B5</f>
        <v>0</v>
      </c>
    </row>
    <row r="74" spans="1:2" ht="16.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2" customWidth="1"/>
    <col min="2" max="2" width="23.125" style="1503" customWidth="1"/>
    <col min="3" max="3" width="13" style="1547" customWidth="1"/>
    <col min="4" max="4" width="5.8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2.7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2577</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2578</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2290</v>
      </c>
      <c r="C17" s="1543"/>
    </row>
    <row r="18" spans="1:3">
      <c r="A18" s="1542" t="s">
        <v>1046</v>
      </c>
      <c r="B18" s="1542" t="s">
        <v>2433</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0"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0" t="s">
        <v>385</v>
      </c>
      <c r="C54" s="1547" t="s">
        <v>583</v>
      </c>
    </row>
    <row r="55" spans="1:4">
      <c r="A55" s="3540"/>
      <c r="B55" s="1550" t="s">
        <v>386</v>
      </c>
      <c r="C55" s="1547" t="s">
        <v>584</v>
      </c>
    </row>
    <row r="56" spans="1:4">
      <c r="A56" s="3540"/>
      <c r="B56" s="1550" t="s">
        <v>387</v>
      </c>
      <c r="C56" s="1547" t="s">
        <v>588</v>
      </c>
    </row>
    <row r="57" spans="1:4">
      <c r="A57" s="3540"/>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125" defaultRowHeight="14.25"/>
  <cols>
    <col min="1" max="7" width="15.125" style="3008"/>
    <col min="8" max="8" width="5.5" style="3008" customWidth="1"/>
    <col min="9" max="13" width="9.5" style="3050" customWidth="1"/>
    <col min="14" max="18" width="9.5" style="3008" customWidth="1"/>
    <col min="19" max="16384" width="15.1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41" t="s">
        <v>2580</v>
      </c>
      <c r="J2" s="3541"/>
      <c r="K2" s="3541"/>
      <c r="L2" s="3541"/>
      <c r="M2" s="3541"/>
      <c r="N2" s="3541"/>
      <c r="O2" s="3541"/>
      <c r="P2" s="3541"/>
      <c r="Q2" s="3541"/>
      <c r="R2" s="3541"/>
    </row>
    <row r="3" spans="1:18">
      <c r="A3" s="3012" t="s">
        <v>2501</v>
      </c>
      <c r="B3" s="3013">
        <f>项目基本情况!D3</f>
        <v>44970</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3.84</v>
      </c>
      <c r="D5" s="3017">
        <f>IF(ISERROR(ROUND(POWER(1+E5,A5-C5)*(POWER(1+E5,C5)-1)/(POWER(1+E5,A5)-1),3)),0,ROUND(POWER(1+E5,A5-C5)*(POWER(1+E5,C5)-1)/(POWER(1+E5,A5)-1),4))</f>
        <v>0.17660000000000001</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13.85</v>
      </c>
      <c r="D6" s="3017">
        <f>IF(ISERROR(ROUND(POWER(1+E6,A6-C6)*(POWER(1+E6,C6)-1)/(POWER(1+E6,A6)-1),3)),0,ROUND(POWER(1+E6,A6-C6)*(POWER(1+E6,C6)-1)/(POWER(1+E6,A6)-1),4))</f>
        <v>0.48780000000000001</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33.869999999999997</v>
      </c>
      <c r="D7" s="3017">
        <f>IF(ISERROR(ROUND(POWER(1+E7,A7-C7)*(POWER(1+E7,C7)-1)/(POWER(1+E7,A7)-1),3)),0,ROUND(POWER(1+E7,A7-C7)*(POWER(1+E7,C7)-1)/(POWER(1+E7,A7)-1),4))</f>
        <v>0.78549999999999998</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5" thickBot="1">
      <c r="A18" s="3023" t="s">
        <v>2516</v>
      </c>
      <c r="B18" s="3024">
        <f>ROUND(B17*F11/F12,2)</f>
        <v>5541.87</v>
      </c>
      <c r="C18" s="3024">
        <f>ROUND(F11/F12,4)</f>
        <v>1.1521999999999999</v>
      </c>
      <c r="D18" s="3025"/>
      <c r="E18" s="3025"/>
      <c r="F18" s="3026"/>
    </row>
    <row r="19" spans="1:13" ht="15" thickBot="1"/>
    <row r="20" spans="1:13" s="3061" customFormat="1" ht="1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SheetLayoutView="100" workbookViewId="0">
      <selection activeCell="C17" sqref="C17"/>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875" style="1741" customWidth="1"/>
    <col min="8" max="8" width="10" style="1741" customWidth="1"/>
    <col min="9" max="9" width="11.125" style="1575" customWidth="1"/>
    <col min="10" max="10" width="10" style="1739" customWidth="1"/>
    <col min="11" max="11" width="10" style="2620" customWidth="1"/>
    <col min="12" max="13" width="10" style="2621"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59" t="s">
        <v>2168</v>
      </c>
      <c r="B1" s="3542" t="str">
        <f>IF(B10="北京市","北京市",C10)&amp;F10&amp;IF(结果表!G1="在建","出让国有建设用地使用权及在建建筑物",IF(结果表!G1="土地","出让国有建设用地使用权",))&amp;B9&amp;"预评估"</f>
        <v>北京市房地产市场价值预评估</v>
      </c>
      <c r="C1" s="3543"/>
      <c r="D1" s="3543"/>
      <c r="E1" s="3543"/>
      <c r="F1" s="3543"/>
      <c r="G1" s="3543"/>
      <c r="H1" s="3543"/>
      <c r="I1" s="3544"/>
      <c r="J1" s="2463"/>
      <c r="K1" s="2361"/>
      <c r="L1" s="2362"/>
      <c r="M1" s="2362"/>
      <c r="N1" s="2363"/>
      <c r="O1" s="1572"/>
      <c r="P1" s="2363"/>
      <c r="Q1" s="2363"/>
      <c r="R1" s="2363"/>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0" t="s">
        <v>2169</v>
      </c>
      <c r="B2" s="2364"/>
      <c r="C2" s="2365"/>
      <c r="D2" s="2662"/>
      <c r="E2" s="2654"/>
      <c r="F2" s="2654"/>
      <c r="G2" s="2655"/>
      <c r="H2" s="2655"/>
      <c r="I2" s="2655"/>
      <c r="J2" s="2463"/>
      <c r="K2" s="2361"/>
      <c r="L2" s="2362"/>
      <c r="M2" s="2362"/>
      <c r="N2" s="2363"/>
      <c r="O2" s="1572"/>
      <c r="P2" s="2363"/>
      <c r="Q2" s="2363"/>
      <c r="R2" s="2363"/>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2170</v>
      </c>
      <c r="B3" s="2366">
        <v>44970</v>
      </c>
      <c r="C3" s="2367" t="s">
        <v>2171</v>
      </c>
      <c r="D3" s="2366">
        <f>B3</f>
        <v>44970</v>
      </c>
      <c r="E3" s="2655"/>
      <c r="F3" s="2655"/>
      <c r="G3" s="2655"/>
      <c r="H3" s="2655"/>
      <c r="I3" s="2655"/>
      <c r="J3" s="2463"/>
      <c r="K3" s="2361"/>
      <c r="L3" s="2362"/>
      <c r="M3" s="2362"/>
      <c r="N3" s="2363"/>
      <c r="O3" s="1572"/>
      <c r="P3" s="2363"/>
      <c r="Q3" s="2363"/>
      <c r="R3" s="2363"/>
      <c r="S3" s="1678"/>
      <c r="T3" s="1741"/>
      <c r="U3" s="1741"/>
      <c r="V3" s="1741"/>
      <c r="W3" s="1741"/>
      <c r="X3" s="1741"/>
      <c r="Y3" s="1741"/>
      <c r="Z3" s="1741"/>
      <c r="AA3" s="1741"/>
      <c r="AB3" s="1741"/>
    </row>
    <row r="4" spans="1:30" ht="13.5" thickBot="1">
      <c r="A4" s="1086" t="s">
        <v>2172</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2"/>
      <c r="P4" s="2363"/>
      <c r="Q4" s="2363"/>
      <c r="R4" s="2363"/>
      <c r="S4" s="1678"/>
      <c r="T4" s="1741"/>
      <c r="U4" s="1741"/>
      <c r="V4" s="1741"/>
      <c r="W4" s="1741"/>
      <c r="X4" s="1741"/>
      <c r="Y4" s="1741"/>
      <c r="Z4" s="1741"/>
      <c r="AA4" s="1741"/>
      <c r="AB4" s="1741"/>
    </row>
    <row r="5" spans="1:30" ht="13.5" thickTop="1">
      <c r="A5" s="2372" t="s">
        <v>2173</v>
      </c>
      <c r="B5" s="2373"/>
      <c r="C5" s="2374"/>
      <c r="D5" s="2375"/>
      <c r="E5" s="2656"/>
      <c r="F5" s="2656"/>
      <c r="G5" s="2656"/>
      <c r="H5" s="2656"/>
      <c r="I5" s="2656"/>
      <c r="J5" s="2432"/>
      <c r="K5" s="2371" t="str">
        <f>IF(F4="——","",IF(H4="——",F4&amp;"（注册号："&amp;G4&amp;")",CONCATENATE(F4,"（注册号：",G4,")、",H4,"（注册号：",I4,")")))</f>
        <v>（注册号：0)、（注册号：0)</v>
      </c>
      <c r="L5" s="2362"/>
      <c r="M5" s="2362"/>
      <c r="N5" s="2363"/>
      <c r="O5" s="1572"/>
      <c r="P5" s="2363"/>
      <c r="Q5" s="2363"/>
      <c r="R5" s="2363"/>
      <c r="S5" s="1741"/>
      <c r="T5" s="1741"/>
      <c r="U5" s="1741"/>
      <c r="V5" s="1741"/>
      <c r="W5" s="1741"/>
      <c r="X5" s="1741"/>
      <c r="Y5" s="1741"/>
      <c r="Z5" s="1741"/>
      <c r="AA5" s="1741"/>
      <c r="AB5" s="1741"/>
    </row>
    <row r="6" spans="1:30">
      <c r="A6" s="2376" t="s">
        <v>2174</v>
      </c>
      <c r="B6" s="2377"/>
      <c r="C6" s="2378"/>
      <c r="D6" s="2379"/>
      <c r="E6" s="2654"/>
      <c r="F6" s="2656"/>
      <c r="G6" s="2656"/>
      <c r="H6" s="2656"/>
      <c r="I6" s="2656"/>
      <c r="J6" s="2432"/>
      <c r="K6" s="2607" t="str">
        <f>IF(COUNTIF(B6,"*上海银行*"),"上海银行","")</f>
        <v/>
      </c>
      <c r="L6" s="2605"/>
      <c r="M6" s="2605"/>
      <c r="N6" s="2432"/>
      <c r="O6" s="2443"/>
      <c r="P6" s="2432"/>
      <c r="Q6" s="2432"/>
      <c r="R6" s="2432"/>
    </row>
    <row r="7" spans="1:30">
      <c r="A7" s="2376" t="s">
        <v>2175</v>
      </c>
      <c r="B7" s="2380"/>
      <c r="C7" s="2378"/>
      <c r="D7" s="2379"/>
      <c r="E7" s="2654"/>
      <c r="F7" s="2656"/>
      <c r="G7" s="2656"/>
      <c r="H7" s="2656"/>
      <c r="I7" s="2656"/>
      <c r="J7" s="2432"/>
      <c r="K7" s="2608"/>
      <c r="L7" s="2605"/>
      <c r="M7" s="2605"/>
      <c r="N7" s="2432"/>
      <c r="O7" s="2443"/>
      <c r="P7" s="2432"/>
      <c r="Q7" s="2432"/>
      <c r="R7" s="2432"/>
    </row>
    <row r="8" spans="1:30">
      <c r="A8" s="2381" t="s">
        <v>2176</v>
      </c>
      <c r="B8" s="2382" t="s">
        <v>3376</v>
      </c>
      <c r="C8" s="2383"/>
      <c r="D8" s="3545" t="s">
        <v>2177</v>
      </c>
      <c r="E8" s="2384"/>
      <c r="F8" s="2385"/>
      <c r="G8" s="2655"/>
      <c r="H8" s="2655"/>
      <c r="I8" s="2655"/>
      <c r="J8" s="2432"/>
      <c r="K8" s="2606"/>
      <c r="L8" s="2605"/>
      <c r="M8" s="2605"/>
      <c r="N8" s="2432"/>
      <c r="O8" s="2443"/>
      <c r="P8" s="2432"/>
      <c r="Q8" s="2432"/>
      <c r="R8" s="2432"/>
    </row>
    <row r="9" spans="1:30" ht="13.5" thickBot="1">
      <c r="A9" s="2386" t="s">
        <v>2178</v>
      </c>
      <c r="B9" s="2387" t="s">
        <v>3377</v>
      </c>
      <c r="C9" s="2388"/>
      <c r="D9" s="3546"/>
      <c r="E9" s="2387"/>
      <c r="F9" s="2389"/>
      <c r="G9" s="2657"/>
      <c r="H9" s="2657"/>
      <c r="I9" s="2657"/>
      <c r="J9" s="2432"/>
      <c r="K9" s="2608"/>
      <c r="L9" s="2605"/>
      <c r="M9" s="2605"/>
      <c r="N9" s="2432"/>
      <c r="O9" s="2443"/>
      <c r="P9" s="2432"/>
      <c r="Q9" s="2432"/>
      <c r="R9" s="2432"/>
    </row>
    <row r="10" spans="1:30" ht="13.5" thickTop="1">
      <c r="A10" s="2390" t="s">
        <v>2179</v>
      </c>
      <c r="B10" s="2391" t="s">
        <v>3378</v>
      </c>
      <c r="C10" s="2392"/>
      <c r="D10" s="2375"/>
      <c r="E10" s="2393" t="s">
        <v>2180</v>
      </c>
      <c r="F10" s="2658"/>
      <c r="G10" s="2659"/>
      <c r="H10" s="2660"/>
      <c r="I10" s="2661"/>
      <c r="J10" s="2432"/>
      <c r="K10" s="2608"/>
      <c r="L10" s="2605"/>
      <c r="M10" s="2605"/>
      <c r="N10" s="2432"/>
      <c r="O10" s="2443"/>
      <c r="P10" s="2432"/>
      <c r="Q10" s="2432"/>
      <c r="R10" s="2432"/>
    </row>
    <row r="11" spans="1:30">
      <c r="A11" s="2394" t="s">
        <v>2181</v>
      </c>
      <c r="B11" s="2395" t="s">
        <v>3379</v>
      </c>
      <c r="C11" s="2396"/>
      <c r="D11" s="2397"/>
      <c r="E11" s="2363"/>
      <c r="F11" s="2363"/>
      <c r="G11" s="2363"/>
      <c r="H11" s="2363"/>
      <c r="I11" s="2363"/>
      <c r="J11" s="3053"/>
      <c r="K11" s="3052"/>
      <c r="L11" s="2605"/>
      <c r="M11" s="2605"/>
      <c r="N11" s="2432"/>
      <c r="O11" s="2443"/>
      <c r="P11" s="2432"/>
      <c r="Q11" s="2432"/>
      <c r="R11" s="2432"/>
    </row>
    <row r="12" spans="1:30">
      <c r="A12" s="2398" t="s">
        <v>2182</v>
      </c>
      <c r="B12" s="320" t="s">
        <v>2183</v>
      </c>
      <c r="C12" s="2399" t="s">
        <v>2184</v>
      </c>
      <c r="D12" s="2399" t="s">
        <v>2185</v>
      </c>
      <c r="E12" s="2399" t="s">
        <v>2186</v>
      </c>
      <c r="F12" s="2399" t="s">
        <v>2187</v>
      </c>
      <c r="G12" s="2399" t="s">
        <v>2188</v>
      </c>
      <c r="H12" s="2399" t="s">
        <v>2189</v>
      </c>
      <c r="I12" s="3051" t="s">
        <v>2576</v>
      </c>
      <c r="J12" s="3054"/>
      <c r="K12" s="2605"/>
      <c r="L12" s="2605"/>
      <c r="M12" s="2432"/>
      <c r="N12" s="2443"/>
      <c r="O12" s="2432"/>
      <c r="P12" s="2432"/>
      <c r="Q12" s="2432"/>
      <c r="AD12" s="1741"/>
    </row>
    <row r="13" spans="1:30">
      <c r="A13" s="3415" t="s">
        <v>3336</v>
      </c>
      <c r="B13" s="2400" t="s">
        <v>2190</v>
      </c>
      <c r="C13" s="852">
        <v>70537</v>
      </c>
      <c r="D13" s="852"/>
      <c r="E13" s="852"/>
      <c r="F13" s="852"/>
      <c r="G13" s="852"/>
      <c r="H13" s="852"/>
      <c r="I13" s="852"/>
      <c r="J13" s="3054"/>
      <c r="K13" s="2605"/>
      <c r="L13" s="2605"/>
      <c r="M13" s="2432"/>
      <c r="N13" s="2443"/>
      <c r="O13" s="2432"/>
      <c r="P13" s="2432"/>
      <c r="Q13" s="2432"/>
      <c r="AD13" s="1741"/>
    </row>
    <row r="14" spans="1:30">
      <c r="A14" s="1077"/>
      <c r="B14" s="2400" t="s">
        <v>2191</v>
      </c>
      <c r="C14" s="2401">
        <v>70</v>
      </c>
      <c r="D14" s="2401"/>
      <c r="E14" s="2401"/>
      <c r="F14" s="2401"/>
      <c r="G14" s="2401"/>
      <c r="H14" s="2401"/>
      <c r="I14" s="2401"/>
      <c r="J14" s="3055"/>
      <c r="K14" s="2605"/>
      <c r="L14" s="2605"/>
      <c r="M14" s="2432"/>
      <c r="N14" s="2443"/>
      <c r="O14" s="2432"/>
      <c r="P14" s="2432"/>
      <c r="Q14" s="2432"/>
      <c r="AD14" s="1741"/>
    </row>
    <row r="15" spans="1:30">
      <c r="A15" s="317"/>
      <c r="B15" s="2402" t="s">
        <v>2192</v>
      </c>
      <c r="C15" s="2403">
        <f>IF(A13="出让",IF(C13="","",ROUNDDOWN(MIN((C13-$D$3)/365,C14),2)),C14)</f>
        <v>70</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6"/>
      <c r="K15" s="2444"/>
      <c r="L15" s="2444"/>
      <c r="M15" s="2501"/>
      <c r="N15" s="2444"/>
      <c r="O15" s="2501"/>
      <c r="P15" s="2432"/>
      <c r="Q15" s="2432"/>
      <c r="AD15" s="1741"/>
    </row>
    <row r="16" spans="1:30">
      <c r="A16" s="2393" t="s">
        <v>2193</v>
      </c>
      <c r="B16" s="3552"/>
      <c r="C16" s="3553"/>
      <c r="D16" s="3554"/>
      <c r="E16" s="2406" t="s">
        <v>2194</v>
      </c>
      <c r="F16" s="3555"/>
      <c r="G16" s="3556"/>
      <c r="H16" s="3556"/>
      <c r="I16" s="3557"/>
      <c r="J16" s="2432"/>
      <c r="K16" s="2609"/>
      <c r="L16" s="2444"/>
      <c r="M16" s="2444"/>
      <c r="N16" s="2501"/>
      <c r="O16" s="2444"/>
      <c r="P16" s="2501"/>
      <c r="Q16" s="2432"/>
      <c r="R16" s="2432"/>
    </row>
    <row r="17" spans="1:28">
      <c r="A17" s="310" t="s">
        <v>2195</v>
      </c>
      <c r="B17" s="299" t="s">
        <v>2196</v>
      </c>
      <c r="C17" s="8">
        <f>'数据-汇总表'!E3</f>
        <v>1</v>
      </c>
      <c r="D17" s="2315" t="s">
        <v>2197</v>
      </c>
      <c r="E17" s="3558" t="s">
        <v>2198</v>
      </c>
      <c r="F17" s="3559"/>
      <c r="G17" s="3559"/>
      <c r="H17" s="3559"/>
      <c r="I17" s="3560"/>
      <c r="J17" s="2432"/>
      <c r="K17" s="2610"/>
      <c r="L17" s="2444"/>
      <c r="M17" s="2444"/>
      <c r="N17" s="2501"/>
      <c r="O17" s="2444"/>
      <c r="P17" s="2501"/>
      <c r="Q17" s="2432"/>
      <c r="R17" s="2432"/>
      <c r="S17" s="2432"/>
      <c r="T17" s="2432"/>
      <c r="U17" s="2432"/>
      <c r="V17" s="2432"/>
    </row>
    <row r="18" spans="1:28" ht="24.75" thickBot="1">
      <c r="A18" s="2407" t="s">
        <v>2199</v>
      </c>
      <c r="B18" s="1086" t="s">
        <v>2200</v>
      </c>
      <c r="C18" s="2408">
        <f>'数据-汇总表'!D3</f>
        <v>0.45</v>
      </c>
      <c r="D18" s="1088" t="s">
        <v>2201</v>
      </c>
      <c r="E18" s="3561" t="s">
        <v>2202</v>
      </c>
      <c r="F18" s="3562"/>
      <c r="G18" s="3562"/>
      <c r="H18" s="3562"/>
      <c r="I18" s="3563"/>
      <c r="J18" s="2432"/>
      <c r="K18" s="2610"/>
      <c r="L18" s="2444"/>
      <c r="M18" s="2444"/>
      <c r="N18" s="2501"/>
      <c r="O18" s="2444"/>
      <c r="P18" s="2501"/>
      <c r="Q18" s="2432"/>
      <c r="R18" s="2432"/>
      <c r="S18" s="2432"/>
      <c r="T18" s="2432"/>
      <c r="U18" s="2432"/>
      <c r="V18" s="2432"/>
    </row>
    <row r="19" spans="1:28" ht="37.5" thickTop="1" thickBot="1">
      <c r="A19" s="324" t="s">
        <v>1055</v>
      </c>
      <c r="B19" s="304" t="s">
        <v>2203</v>
      </c>
      <c r="C19" s="1559"/>
      <c r="D19" s="1560" t="s">
        <v>2204</v>
      </c>
      <c r="E19" s="1561"/>
      <c r="F19" s="1562" t="str">
        <f>IF(AND(C19="是",E19="否"),"是否提供他项权证或相关说明","")</f>
        <v/>
      </c>
      <c r="G19" s="1563"/>
      <c r="H19" s="2656"/>
      <c r="I19" s="2656"/>
      <c r="J19" s="2432"/>
      <c r="K19" s="2608"/>
      <c r="L19" s="2605"/>
      <c r="M19" s="2605"/>
      <c r="N19" s="2501"/>
      <c r="O19" s="2444"/>
      <c r="P19" s="2501"/>
      <c r="Q19" s="2432"/>
      <c r="R19" s="2432"/>
      <c r="S19" s="2432"/>
      <c r="T19" s="2432"/>
      <c r="U19" s="2432"/>
      <c r="V19" s="2432"/>
    </row>
    <row r="20" spans="1:28">
      <c r="A20" s="2624" t="s">
        <v>2205</v>
      </c>
      <c r="B20" s="3548" t="s">
        <v>2206</v>
      </c>
      <c r="C20" s="3549"/>
      <c r="D20" s="3550" t="s">
        <v>2207</v>
      </c>
      <c r="E20" s="3551"/>
      <c r="F20" s="2639" t="s">
        <v>1056</v>
      </c>
      <c r="G20" s="2656"/>
      <c r="H20" s="2656"/>
      <c r="I20" s="2656"/>
      <c r="J20" s="2432"/>
      <c r="K20" s="3547"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1"/>
      <c r="X20" s="1741"/>
      <c r="Y20" s="1741"/>
      <c r="Z20" s="1741"/>
      <c r="AA20" s="1741"/>
      <c r="AB20" s="1741"/>
    </row>
    <row r="21" spans="1:28" ht="24.75" thickBot="1">
      <c r="A21" s="2624"/>
      <c r="B21" s="2625" t="s">
        <v>2209</v>
      </c>
      <c r="C21" s="2626" t="s">
        <v>1057</v>
      </c>
      <c r="D21" s="1564" t="s">
        <v>2210</v>
      </c>
      <c r="E21" s="2627" t="s">
        <v>1057</v>
      </c>
      <c r="F21" s="2640"/>
      <c r="G21" s="2656"/>
      <c r="H21" s="2656"/>
      <c r="I21" s="2656"/>
      <c r="J21" s="2432"/>
      <c r="K21" s="3547"/>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1"/>
      <c r="X21" s="1741"/>
      <c r="Y21" s="1741"/>
      <c r="Z21" s="1741"/>
      <c r="AA21" s="1741"/>
      <c r="AB21" s="1741"/>
    </row>
    <row r="22" spans="1:28" ht="24.75" thickBot="1">
      <c r="A22" s="2624"/>
      <c r="B22" s="2628" t="s">
        <v>2211</v>
      </c>
      <c r="C22" s="2626" t="s">
        <v>1058</v>
      </c>
      <c r="D22" s="2655"/>
      <c r="E22" s="2655"/>
      <c r="F22" s="2655"/>
      <c r="G22" s="2656"/>
      <c r="H22" s="2656"/>
      <c r="I22" s="2656"/>
      <c r="J22" s="2432"/>
      <c r="K22" s="3547"/>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1"/>
      <c r="X22" s="1741"/>
      <c r="Y22" s="1741"/>
      <c r="Z22" s="1741"/>
      <c r="AA22" s="1741"/>
      <c r="AB22" s="1741"/>
    </row>
    <row r="23" spans="1:28">
      <c r="A23" s="2629" t="s">
        <v>2212</v>
      </c>
      <c r="B23" s="2494" t="s">
        <v>2213</v>
      </c>
      <c r="C23" s="2630"/>
      <c r="D23" s="2631" t="s">
        <v>2213</v>
      </c>
      <c r="E23" s="2632"/>
      <c r="F23" s="2655"/>
      <c r="G23" s="2656"/>
      <c r="H23" s="2656"/>
      <c r="I23" s="2656"/>
      <c r="J23" s="2432"/>
      <c r="K23" s="2611"/>
      <c r="L23" s="2467"/>
      <c r="M23" s="2605"/>
      <c r="N23" s="2501"/>
      <c r="O23" s="2444"/>
      <c r="P23" s="2501"/>
      <c r="Q23" s="2432"/>
      <c r="R23" s="2432"/>
      <c r="S23" s="2432"/>
      <c r="T23" s="2432"/>
      <c r="U23" s="2432"/>
      <c r="V23" s="2432"/>
    </row>
    <row r="24" spans="1:28">
      <c r="A24" s="2629"/>
      <c r="B24" s="2494" t="s">
        <v>1059</v>
      </c>
      <c r="C24" s="2633"/>
      <c r="D24" s="2629" t="s">
        <v>1059</v>
      </c>
      <c r="E24" s="2634"/>
      <c r="F24" s="2655"/>
      <c r="G24" s="2656"/>
      <c r="H24" s="2656"/>
      <c r="I24" s="2656"/>
      <c r="J24" s="2432"/>
      <c r="K24" s="2611"/>
      <c r="L24" s="2467"/>
      <c r="M24" s="2605"/>
      <c r="N24" s="2501"/>
      <c r="O24" s="2444"/>
      <c r="P24" s="2501"/>
      <c r="Q24" s="2432"/>
      <c r="R24" s="2432"/>
      <c r="S24" s="2432"/>
      <c r="T24" s="2432"/>
      <c r="U24" s="2432"/>
      <c r="V24" s="2432"/>
    </row>
    <row r="25" spans="1:28">
      <c r="A25" s="2629"/>
      <c r="B25" s="2494" t="s">
        <v>1060</v>
      </c>
      <c r="C25" s="2633"/>
      <c r="D25" s="2629" t="s">
        <v>1060</v>
      </c>
      <c r="E25" s="2634"/>
      <c r="F25" s="2655"/>
      <c r="G25" s="2656"/>
      <c r="H25" s="2656"/>
      <c r="I25" s="2656"/>
      <c r="J25" s="2432"/>
      <c r="K25" s="2608"/>
      <c r="L25" s="2605"/>
      <c r="M25" s="2605"/>
      <c r="N25" s="2501"/>
      <c r="O25" s="2444"/>
      <c r="P25" s="2501"/>
      <c r="Q25" s="2432"/>
      <c r="R25" s="2432"/>
      <c r="S25" s="2432"/>
      <c r="T25" s="2432"/>
      <c r="U25" s="2432"/>
      <c r="V25" s="2432"/>
    </row>
    <row r="26" spans="1:28" ht="13.5" thickBot="1">
      <c r="A26" s="2635"/>
      <c r="B26" s="2636" t="s">
        <v>1061</v>
      </c>
      <c r="C26" s="2637"/>
      <c r="D26" s="2635" t="s">
        <v>1061</v>
      </c>
      <c r="E26" s="2638"/>
      <c r="F26" s="2657"/>
      <c r="G26" s="2657"/>
      <c r="H26" s="2657"/>
      <c r="I26" s="2657"/>
      <c r="J26" s="2432"/>
      <c r="K26" s="2608"/>
      <c r="L26" s="2605"/>
      <c r="M26" s="2605"/>
      <c r="N26" s="2501"/>
      <c r="O26" s="2444"/>
      <c r="P26" s="2501"/>
      <c r="Q26" s="2432"/>
      <c r="R26" s="2432"/>
      <c r="S26" s="2432"/>
      <c r="T26" s="2432"/>
      <c r="U26" s="2432"/>
      <c r="V26" s="2432"/>
    </row>
    <row r="27" spans="1:28" ht="13.5" thickTop="1">
      <c r="A27" s="3565" t="s">
        <v>2214</v>
      </c>
      <c r="B27" s="317" t="s">
        <v>2215</v>
      </c>
      <c r="C27" s="2409"/>
      <c r="D27" s="2410"/>
      <c r="E27" s="2656"/>
      <c r="F27" s="2656"/>
      <c r="G27" s="2656"/>
      <c r="H27" s="2656"/>
      <c r="I27" s="2656"/>
      <c r="J27" s="2432"/>
      <c r="K27" s="2609"/>
      <c r="L27" s="2444"/>
      <c r="M27" s="2444"/>
      <c r="N27" s="2501"/>
      <c r="O27" s="2444"/>
      <c r="P27" s="2501"/>
      <c r="Q27" s="2432"/>
      <c r="R27" s="2432"/>
      <c r="S27" s="2432"/>
      <c r="T27" s="2432"/>
      <c r="U27" s="2432"/>
      <c r="V27" s="2432"/>
    </row>
    <row r="28" spans="1:28">
      <c r="A28" s="3565"/>
      <c r="B28" s="299" t="s">
        <v>2216</v>
      </c>
      <c r="C28" s="2411"/>
      <c r="D28" s="2412"/>
      <c r="E28" s="2656"/>
      <c r="F28" s="2656"/>
      <c r="G28" s="2656"/>
      <c r="H28" s="2656"/>
      <c r="I28" s="2656"/>
      <c r="J28" s="2432"/>
      <c r="K28" s="2608"/>
      <c r="L28" s="2605"/>
      <c r="M28" s="2605"/>
      <c r="N28" s="2432"/>
      <c r="O28" s="2443"/>
      <c r="P28" s="2432"/>
      <c r="Q28" s="2432"/>
      <c r="R28" s="2432"/>
      <c r="S28" s="2432"/>
      <c r="T28" s="2432"/>
      <c r="U28" s="2432"/>
      <c r="V28" s="2432"/>
    </row>
    <row r="29" spans="1:28">
      <c r="A29" s="3565"/>
      <c r="B29" s="299" t="s">
        <v>2217</v>
      </c>
      <c r="C29" s="2413"/>
      <c r="D29" s="2414"/>
      <c r="E29" s="2656"/>
      <c r="F29" s="2656"/>
      <c r="G29" s="2656"/>
      <c r="H29" s="2656"/>
      <c r="I29" s="2656"/>
      <c r="J29" s="2432"/>
      <c r="K29" s="2608"/>
      <c r="L29" s="2605"/>
      <c r="M29" s="2605"/>
      <c r="N29" s="2432"/>
      <c r="O29" s="2443"/>
      <c r="P29" s="2432"/>
      <c r="Q29" s="2432"/>
      <c r="R29" s="2432"/>
      <c r="S29" s="2432"/>
      <c r="T29" s="2432"/>
      <c r="U29" s="2432"/>
      <c r="V29" s="2432"/>
    </row>
    <row r="30" spans="1:28">
      <c r="A30" s="3566"/>
      <c r="B30" s="299" t="s">
        <v>2218</v>
      </c>
      <c r="C30" s="3567"/>
      <c r="D30" s="3568"/>
      <c r="E30" s="2656"/>
      <c r="F30" s="2656"/>
      <c r="G30" s="2656"/>
      <c r="H30" s="2656"/>
      <c r="I30" s="2656"/>
      <c r="J30" s="2432"/>
      <c r="K30" s="2608"/>
      <c r="L30" s="2605"/>
      <c r="M30" s="2605"/>
      <c r="N30" s="2432"/>
      <c r="O30" s="2443"/>
      <c r="P30" s="2432"/>
      <c r="Q30" s="2432"/>
      <c r="R30" s="2432"/>
      <c r="S30" s="2432"/>
      <c r="T30" s="2432"/>
      <c r="U30" s="2432"/>
      <c r="V30" s="2432"/>
    </row>
    <row r="31" spans="1:28">
      <c r="A31" s="3569" t="s">
        <v>2219</v>
      </c>
      <c r="B31" s="2415"/>
      <c r="C31" s="2316" t="str">
        <f>IF(B31="现房","成新及维护状况正常否",IF(B31="在建","工程状态是否正常",IF(B31="土地","是否闲置","-")))</f>
        <v>-</v>
      </c>
      <c r="D31" s="1369"/>
      <c r="E31" s="2416"/>
      <c r="F31" s="2656"/>
      <c r="G31" s="2656"/>
      <c r="H31" s="2656"/>
      <c r="I31" s="2656"/>
      <c r="J31" s="2432"/>
      <c r="K31" s="2607"/>
      <c r="L31" s="2605"/>
      <c r="M31" s="2605"/>
      <c r="N31" s="2432"/>
      <c r="O31" s="2443"/>
      <c r="P31" s="2432"/>
      <c r="Q31" s="2432"/>
      <c r="R31" s="2432"/>
      <c r="S31" s="2432"/>
      <c r="T31" s="2432"/>
      <c r="U31" s="2432"/>
      <c r="V31" s="2432"/>
    </row>
    <row r="32" spans="1:28">
      <c r="A32" s="3570"/>
      <c r="B32" s="2415"/>
      <c r="C32" s="2316" t="str">
        <f>IF(B32="现房","成新及维护状况是否正常",IF(B32="在建","工程状态是否正常",IF(B32="土地","是否闲置","-")))</f>
        <v>-</v>
      </c>
      <c r="D32" s="1369"/>
      <c r="E32" s="2416"/>
      <c r="F32" s="2656"/>
      <c r="G32" s="2656"/>
      <c r="H32" s="2656"/>
      <c r="I32" s="2656"/>
      <c r="J32" s="2432"/>
      <c r="K32" s="2608"/>
      <c r="L32" s="2605"/>
      <c r="M32" s="2605"/>
      <c r="N32" s="2432"/>
      <c r="O32" s="2443"/>
      <c r="P32" s="2432"/>
      <c r="Q32" s="2432"/>
      <c r="R32" s="2432"/>
      <c r="S32" s="2432"/>
      <c r="T32" s="2432"/>
      <c r="U32" s="2432"/>
      <c r="V32" s="2432"/>
    </row>
    <row r="33" spans="1:30">
      <c r="A33" s="3570"/>
      <c r="B33" s="2418"/>
      <c r="C33" s="1586" t="str">
        <f>IF(B33="现房","成新及维护状况是否正常",IF(B33="在建","工程状态是否正常",IF(B33="土地","是否闲置","-")))</f>
        <v>-</v>
      </c>
      <c r="D33" s="1361"/>
      <c r="E33" s="2419"/>
      <c r="F33" s="2656"/>
      <c r="G33" s="2656"/>
      <c r="H33" s="2656"/>
      <c r="I33" s="2656"/>
      <c r="J33" s="2432"/>
      <c r="K33" s="2608"/>
      <c r="L33" s="2605"/>
      <c r="M33" s="2605"/>
      <c r="N33" s="2432"/>
      <c r="O33" s="2443"/>
      <c r="P33" s="2432"/>
      <c r="Q33" s="2432"/>
      <c r="R33" s="2432"/>
      <c r="S33" s="2432"/>
      <c r="T33" s="2432"/>
      <c r="U33" s="2432"/>
      <c r="V33" s="2432"/>
    </row>
    <row r="34" spans="1:30">
      <c r="A34" s="299" t="s">
        <v>2220</v>
      </c>
      <c r="B34" s="2019"/>
      <c r="C34" s="2019"/>
      <c r="D34" s="2019"/>
      <c r="E34" s="2019"/>
      <c r="F34" s="2019"/>
      <c r="G34" s="2019"/>
      <c r="H34" s="2019"/>
      <c r="I34" s="2656"/>
      <c r="J34" s="2432"/>
      <c r="K34" s="2420">
        <f>COUNTIF(B34:H34,"——")</f>
        <v>0</v>
      </c>
      <c r="L34" s="320" t="s">
        <v>2221</v>
      </c>
      <c r="M34" s="320" t="s">
        <v>2222</v>
      </c>
      <c r="N34" s="320" t="s">
        <v>2223</v>
      </c>
      <c r="O34" s="320" t="s">
        <v>2224</v>
      </c>
      <c r="P34" s="320" t="s">
        <v>2225</v>
      </c>
      <c r="Q34" s="320" t="s">
        <v>2226</v>
      </c>
      <c r="R34" s="320" t="s">
        <v>2227</v>
      </c>
      <c r="S34" s="3564" t="s">
        <v>2228</v>
      </c>
      <c r="T34" s="2421" t="str">
        <f>NUMBERSTRING(7-K34,1)&amp;"通"</f>
        <v>七通</v>
      </c>
      <c r="U34" s="2432"/>
      <c r="V34" s="2432"/>
    </row>
    <row r="35" spans="1:30">
      <c r="A35" s="2422"/>
      <c r="B35" s="3571" t="s">
        <v>2229</v>
      </c>
      <c r="C35" s="3571"/>
      <c r="D35" s="3571"/>
      <c r="E35" s="3571"/>
      <c r="F35" s="661">
        <f>C10</f>
        <v>0</v>
      </c>
      <c r="G35" s="2656"/>
      <c r="H35" s="2656"/>
      <c r="I35" s="2656"/>
      <c r="J35" s="2432"/>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64"/>
      <c r="T35" s="326" t="str">
        <f>IF(T34="一通",L35,IF(T34="二通",M35,IF(T34="三通",N35,IF(T34="四通",O35,IF(T34="五通",P35,IF(T34="六通",Q35,R35))))))</f>
        <v>、、、、、、</v>
      </c>
      <c r="U35" s="2432"/>
      <c r="V35" s="2432"/>
    </row>
    <row r="36" spans="1:30">
      <c r="A36" s="2423"/>
      <c r="B36" s="661" t="s">
        <v>2185</v>
      </c>
      <c r="C36" s="661" t="s">
        <v>2186</v>
      </c>
      <c r="D36" s="661" t="s">
        <v>2184</v>
      </c>
      <c r="E36" s="661" t="s">
        <v>2189</v>
      </c>
      <c r="F36" s="3057" t="s">
        <v>2579</v>
      </c>
      <c r="G36" s="2656"/>
      <c r="H36" s="2656"/>
      <c r="I36" s="2656"/>
      <c r="J36" s="2432"/>
      <c r="K36" s="2608"/>
      <c r="L36" s="2605"/>
      <c r="M36" s="2605"/>
      <c r="N36" s="2432"/>
      <c r="O36" s="2443"/>
      <c r="P36" s="2432"/>
      <c r="Q36" s="2432"/>
      <c r="R36" s="2432"/>
      <c r="S36" s="2432"/>
      <c r="T36" s="2432"/>
      <c r="U36" s="2432"/>
      <c r="V36" s="2432"/>
    </row>
    <row r="37" spans="1:30">
      <c r="A37" s="2622" t="s">
        <v>2230</v>
      </c>
      <c r="B37" s="2424"/>
      <c r="C37" s="2424"/>
      <c r="D37" s="2424"/>
      <c r="E37" s="2424"/>
      <c r="F37" s="2424"/>
      <c r="G37" s="2656"/>
      <c r="H37" s="2656"/>
      <c r="I37" s="2656"/>
      <c r="J37" s="2432"/>
      <c r="K37" s="2608"/>
      <c r="L37" s="2605"/>
      <c r="M37" s="2605"/>
      <c r="N37" s="2432"/>
      <c r="O37" s="2443"/>
      <c r="P37" s="2432"/>
      <c r="Q37" s="2432"/>
      <c r="R37" s="2432"/>
      <c r="S37" s="2432"/>
      <c r="T37" s="2432"/>
      <c r="U37" s="2432"/>
      <c r="V37" s="2432"/>
    </row>
    <row r="38" spans="1:30" ht="13.5" thickBot="1">
      <c r="A38" s="2623" t="s">
        <v>2231</v>
      </c>
      <c r="B38" s="2425"/>
      <c r="C38" s="2425"/>
      <c r="D38" s="2425"/>
      <c r="E38" s="2425"/>
      <c r="F38" s="2425"/>
      <c r="G38" s="2657"/>
      <c r="H38" s="2657"/>
      <c r="I38" s="2657"/>
      <c r="J38" s="2432"/>
      <c r="K38" s="2608"/>
      <c r="L38" s="2605"/>
      <c r="M38" s="2605"/>
      <c r="N38" s="2432"/>
      <c r="O38" s="2443"/>
      <c r="P38" s="2432"/>
      <c r="Q38" s="2432"/>
      <c r="R38" s="2432"/>
      <c r="S38" s="2432"/>
      <c r="T38" s="2432"/>
      <c r="U38" s="2432"/>
      <c r="V38" s="2432"/>
    </row>
    <row r="39" spans="1:30" s="2428" customFormat="1" ht="14.25" thickTop="1" thickBot="1">
      <c r="A39" s="2426" t="s">
        <v>2232</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3"/>
      <c r="B40" s="2363"/>
      <c r="C40" s="2363"/>
      <c r="D40" s="2363"/>
      <c r="E40" s="2363"/>
      <c r="F40" s="2363"/>
      <c r="G40" s="2363"/>
      <c r="H40" s="2363"/>
      <c r="I40" s="1574"/>
      <c r="J40" s="2501"/>
      <c r="K40" s="2607"/>
      <c r="L40" s="2444"/>
      <c r="M40" s="2444"/>
      <c r="N40" s="2501"/>
      <c r="O40" s="2444"/>
      <c r="P40" s="2432"/>
      <c r="Q40" s="2432"/>
      <c r="R40" s="2432"/>
      <c r="S40" s="2432"/>
      <c r="T40" s="2432"/>
      <c r="U40" s="2432"/>
      <c r="V40" s="2432"/>
    </row>
    <row r="41" spans="1:30">
      <c r="A41" s="2429" t="s">
        <v>2233</v>
      </c>
      <c r="B41" s="1753"/>
      <c r="C41" s="1369"/>
      <c r="D41" s="2363"/>
      <c r="E41" s="2363"/>
      <c r="F41" s="2363"/>
      <c r="G41" s="2363"/>
      <c r="H41" s="2363"/>
      <c r="I41" s="1572"/>
      <c r="J41" s="2432"/>
      <c r="K41" s="2608"/>
      <c r="L41" s="2605"/>
      <c r="M41" s="2605"/>
      <c r="N41" s="2432"/>
      <c r="O41" s="2443"/>
      <c r="P41" s="2432"/>
      <c r="Q41" s="2432"/>
      <c r="R41" s="2432"/>
      <c r="S41" s="2432"/>
      <c r="T41" s="2432"/>
      <c r="U41" s="2432"/>
      <c r="V41" s="2432"/>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L8"/>
  <sheetViews>
    <sheetView workbookViewId="0">
      <selection activeCell="K28" sqref="K28"/>
    </sheetView>
  </sheetViews>
  <sheetFormatPr defaultColWidth="10.875" defaultRowHeight="14.25"/>
  <cols>
    <col min="1" max="1" width="6.125" style="3444" customWidth="1"/>
    <col min="2" max="2" width="16.375" style="3444" customWidth="1"/>
    <col min="3" max="3" width="8.375" style="3444" customWidth="1"/>
    <col min="4" max="4" width="12.5" style="3444" customWidth="1"/>
    <col min="5" max="10" width="10.875" style="3444"/>
    <col min="11" max="11" width="38.375" style="3444" customWidth="1"/>
    <col min="12" max="12" width="14.875" style="3444" customWidth="1"/>
    <col min="13" max="16384" width="10.875" style="3444"/>
  </cols>
  <sheetData>
    <row r="1" spans="1:12">
      <c r="A1" s="3572" t="s">
        <v>3393</v>
      </c>
      <c r="B1" s="3572"/>
      <c r="C1" s="3572"/>
      <c r="D1" s="3572"/>
      <c r="E1" s="3572"/>
      <c r="F1" s="3572"/>
      <c r="G1" s="3572"/>
      <c r="H1" s="3572"/>
      <c r="I1" s="3572"/>
      <c r="J1" s="3572"/>
      <c r="K1" s="3572"/>
    </row>
    <row r="2" spans="1:12" s="3443" customFormat="1" ht="23.25" customHeight="1">
      <c r="A2" s="3442" t="s">
        <v>3380</v>
      </c>
      <c r="B2" s="3442" t="s">
        <v>3385</v>
      </c>
      <c r="C2" s="3442" t="s">
        <v>3383</v>
      </c>
      <c r="D2" s="3442" t="s">
        <v>3381</v>
      </c>
      <c r="E2" s="3442" t="s">
        <v>3386</v>
      </c>
      <c r="F2" s="3442" t="s">
        <v>3387</v>
      </c>
      <c r="G2" s="3442" t="s">
        <v>3388</v>
      </c>
      <c r="H2" s="3442" t="s">
        <v>3389</v>
      </c>
      <c r="I2" s="3442" t="s">
        <v>3382</v>
      </c>
      <c r="J2" s="3442" t="s">
        <v>3390</v>
      </c>
      <c r="K2" s="3442" t="s">
        <v>3391</v>
      </c>
      <c r="L2" s="3443" t="s">
        <v>3401</v>
      </c>
    </row>
    <row r="3" spans="1:12" ht="51" customHeight="1">
      <c r="A3" s="3445">
        <v>1</v>
      </c>
      <c r="B3" s="3445" t="s">
        <v>3392</v>
      </c>
      <c r="C3" s="3445" t="s">
        <v>3398</v>
      </c>
      <c r="D3" s="3445" t="s">
        <v>3399</v>
      </c>
      <c r="E3" s="3445">
        <v>2.44</v>
      </c>
      <c r="F3" s="3445">
        <v>2.2000000000000002</v>
      </c>
      <c r="G3" s="3445">
        <v>5.37</v>
      </c>
      <c r="H3" s="3445">
        <v>45</v>
      </c>
      <c r="I3" s="3445">
        <v>30</v>
      </c>
      <c r="J3" s="3445">
        <v>30</v>
      </c>
      <c r="K3" s="3446" t="s">
        <v>3400</v>
      </c>
      <c r="L3" s="3444">
        <f>ROUND(G3-0.05-0.1-0.007,2)</f>
        <v>5.21</v>
      </c>
    </row>
    <row r="4" spans="1:12">
      <c r="A4" s="3445">
        <v>2</v>
      </c>
      <c r="B4" s="3445" t="s">
        <v>3394</v>
      </c>
      <c r="C4" s="3445" t="s">
        <v>3398</v>
      </c>
      <c r="D4" s="3445" t="s">
        <v>3399</v>
      </c>
      <c r="E4" s="3445">
        <v>2.78</v>
      </c>
      <c r="F4" s="3445">
        <v>2.2000000000000002</v>
      </c>
      <c r="G4" s="3445">
        <v>6.11</v>
      </c>
      <c r="H4" s="3445">
        <v>45</v>
      </c>
      <c r="I4" s="3445">
        <v>30</v>
      </c>
      <c r="J4" s="3445">
        <v>30</v>
      </c>
      <c r="K4" s="3445" t="s">
        <v>3401</v>
      </c>
      <c r="L4" s="3444">
        <f>G4</f>
        <v>6.11</v>
      </c>
    </row>
    <row r="5" spans="1:12" ht="57">
      <c r="A5" s="3445">
        <v>3</v>
      </c>
      <c r="B5" s="3445" t="s">
        <v>3395</v>
      </c>
      <c r="C5" s="3445" t="s">
        <v>3398</v>
      </c>
      <c r="D5" s="3445" t="s">
        <v>3399</v>
      </c>
      <c r="E5" s="3445">
        <v>3.45</v>
      </c>
      <c r="F5" s="3445">
        <v>2.2000000000000002</v>
      </c>
      <c r="G5" s="3445">
        <v>7.59</v>
      </c>
      <c r="H5" s="3445">
        <v>45</v>
      </c>
      <c r="I5" s="3445">
        <v>30</v>
      </c>
      <c r="J5" s="3445">
        <v>30</v>
      </c>
      <c r="K5" s="3446" t="s">
        <v>3402</v>
      </c>
      <c r="L5" s="3444">
        <f>ROUND(G5-0.007-0.007-0.005-0.007-0.028,2)</f>
        <v>7.54</v>
      </c>
    </row>
    <row r="6" spans="1:12">
      <c r="A6" s="3445">
        <v>4</v>
      </c>
      <c r="B6" s="3445" t="s">
        <v>3396</v>
      </c>
      <c r="C6" s="3445" t="s">
        <v>3398</v>
      </c>
      <c r="D6" s="3445" t="s">
        <v>3399</v>
      </c>
      <c r="E6" s="3445">
        <v>2.68</v>
      </c>
      <c r="F6" s="3445">
        <v>2.2000000000000002</v>
      </c>
      <c r="G6" s="3445">
        <v>5.89</v>
      </c>
      <c r="H6" s="3445">
        <v>45</v>
      </c>
      <c r="I6" s="3445">
        <v>30</v>
      </c>
      <c r="J6" s="3445">
        <v>30</v>
      </c>
      <c r="K6" s="3445" t="s">
        <v>3401</v>
      </c>
      <c r="L6" s="3444">
        <f>G6</f>
        <v>5.89</v>
      </c>
    </row>
    <row r="7" spans="1:12">
      <c r="A7" s="3445">
        <v>5</v>
      </c>
      <c r="B7" s="3445" t="s">
        <v>3397</v>
      </c>
      <c r="C7" s="3445" t="s">
        <v>3398</v>
      </c>
      <c r="D7" s="3445" t="s">
        <v>3399</v>
      </c>
      <c r="E7" s="3445">
        <v>3.17</v>
      </c>
      <c r="F7" s="3445">
        <v>2.2000000000000002</v>
      </c>
      <c r="G7" s="3445">
        <v>6.97</v>
      </c>
      <c r="H7" s="3445">
        <v>45</v>
      </c>
      <c r="I7" s="3445">
        <v>30</v>
      </c>
      <c r="J7" s="3445">
        <v>30</v>
      </c>
      <c r="K7" s="3445" t="s">
        <v>3401</v>
      </c>
      <c r="L7" s="3444">
        <f>G7</f>
        <v>6.97</v>
      </c>
    </row>
    <row r="8" spans="1:12">
      <c r="A8" s="3445" t="s">
        <v>3403</v>
      </c>
      <c r="B8" s="3445" t="s">
        <v>3404</v>
      </c>
      <c r="C8" s="3445" t="s">
        <v>3404</v>
      </c>
      <c r="D8" s="3445" t="s">
        <v>3404</v>
      </c>
      <c r="E8" s="3445">
        <f>SUM(E3:E7)</f>
        <v>14.52</v>
      </c>
      <c r="F8" s="3445" t="s">
        <v>3404</v>
      </c>
      <c r="G8" s="3445">
        <f t="shared" ref="G8" si="0">SUM(G3:G7)</f>
        <v>31.93</v>
      </c>
      <c r="H8" s="3445" t="s">
        <v>3404</v>
      </c>
      <c r="I8" s="3445" t="s">
        <v>3404</v>
      </c>
      <c r="J8" s="3445" t="s">
        <v>3404</v>
      </c>
      <c r="K8" s="3445" t="s">
        <v>3404</v>
      </c>
      <c r="L8" s="3444">
        <f>SUM(L3:L7)</f>
        <v>31.72</v>
      </c>
    </row>
  </sheetData>
  <mergeCells count="1">
    <mergeCell ref="A1:K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6" width="9.875" style="1569" customWidth="1"/>
    <col min="17" max="17" width="9.375" style="1569" customWidth="1"/>
    <col min="18" max="18" width="9.125" style="1569" customWidth="1"/>
    <col min="19" max="28" width="10.875" style="1569" customWidth="1"/>
    <col min="29" max="29" width="11" style="1569" bestFit="1" customWidth="1"/>
    <col min="30" max="30" width="10" style="1569" bestFit="1" customWidth="1"/>
    <col min="31" max="31" width="9.875" style="1569" customWidth="1"/>
    <col min="32" max="46" width="9.5" style="1569" customWidth="1"/>
    <col min="47" max="47" width="18.125" style="1569" customWidth="1"/>
    <col min="48" max="50" width="9.8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B3/2.2</f>
        <v>0.45454545454545453</v>
      </c>
      <c r="B3" s="11">
        <f>IF(C3="否",G5-AT5,G5)</f>
        <v>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3405</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3406</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住宅</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3407</v>
      </c>
      <c r="E13" s="13">
        <f>IF($C$3="是",ROUND($A$3*G13/$B$3,2),ROUND($A$3*(G13-AT13)/$B$3,2))</f>
        <v>0.45</v>
      </c>
      <c r="F13" s="29"/>
      <c r="G13" s="30">
        <f>H13+AC13+AT13</f>
        <v>1</v>
      </c>
      <c r="H13" s="17">
        <f>SUMIF(I$12:AB$12,"总值",I13:AB13)</f>
        <v>1</v>
      </c>
      <c r="I13" s="1622">
        <v>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4" customWidth="1"/>
    <col min="2" max="2" width="10.1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1" customWidth="1"/>
    <col min="11" max="16" width="10" style="1634" customWidth="1"/>
    <col min="17" max="17" width="2.625" style="1634" customWidth="1"/>
    <col min="18" max="18" width="9.375" style="1634" bestFit="1" customWidth="1"/>
    <col min="19" max="19" width="10.5" style="1634" bestFit="1" customWidth="1"/>
    <col min="20" max="16384" width="9.1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82" t="s">
        <v>1131</v>
      </c>
      <c r="B2" s="3582"/>
      <c r="C2" s="3582"/>
      <c r="D2" s="792" t="s">
        <v>1107</v>
      </c>
      <c r="E2" s="1635" t="s">
        <v>1108</v>
      </c>
      <c r="F2" s="2651"/>
      <c r="G2" s="2642"/>
      <c r="H2" s="2643"/>
      <c r="I2" s="2318" t="s">
        <v>1132</v>
      </c>
      <c r="J2" s="2651"/>
      <c r="K2" s="2651"/>
      <c r="L2" s="2651"/>
      <c r="M2" s="2651"/>
      <c r="N2" s="2653"/>
      <c r="O2" s="2651"/>
      <c r="P2" s="2651"/>
    </row>
    <row r="3" spans="1:16" ht="15.75" thickBot="1">
      <c r="A3" s="3583" t="s">
        <v>1105</v>
      </c>
      <c r="B3" s="3583"/>
      <c r="C3" s="3583"/>
      <c r="D3" s="43">
        <f>'数据-基础表'!AY6</f>
        <v>0.45</v>
      </c>
      <c r="E3" s="43">
        <f>'数据-基础表'!AZ5</f>
        <v>1</v>
      </c>
      <c r="F3" s="2651"/>
      <c r="G3" s="1141"/>
      <c r="H3" s="1022" t="s">
        <v>1106</v>
      </c>
      <c r="I3" s="851">
        <f>ROUND('数据-基础表'!B3/'数据-基础表'!A3,2)</f>
        <v>2.2000000000000002</v>
      </c>
      <c r="J3" s="2651"/>
      <c r="K3" s="2651"/>
      <c r="L3" s="2651"/>
      <c r="M3" s="2651"/>
      <c r="N3" s="2653"/>
      <c r="O3" s="2651"/>
      <c r="P3" s="2651"/>
    </row>
    <row r="4" spans="1:16" ht="15">
      <c r="A4" s="3584"/>
      <c r="B4" s="3585"/>
      <c r="C4" s="3586"/>
      <c r="D4" s="1637" t="s">
        <v>1107</v>
      </c>
      <c r="E4" s="1638" t="s">
        <v>1108</v>
      </c>
      <c r="F4" s="2651"/>
      <c r="G4" s="2644" t="s">
        <v>1133</v>
      </c>
      <c r="H4" s="1022" t="s">
        <v>1113</v>
      </c>
      <c r="I4" s="851">
        <f>ROUND(SUMIF('数据-基础表'!I9:AS9,"地上",'数据-基础表'!I5:AS5)/'数据-基础表'!A3,2)</f>
        <v>2.2000000000000002</v>
      </c>
      <c r="J4" s="2651"/>
      <c r="K4" s="2651"/>
      <c r="L4" s="2651"/>
      <c r="M4" s="2651"/>
      <c r="N4" s="2653"/>
      <c r="O4" s="2651"/>
      <c r="P4" s="2651"/>
    </row>
    <row r="5" spans="1:16">
      <c r="A5" s="44" t="s">
        <v>1109</v>
      </c>
      <c r="B5" s="3587" t="s">
        <v>1110</v>
      </c>
      <c r="C5" s="3587"/>
      <c r="D5" s="45">
        <f>ROUND($D$3*E5/$E$3,2)</f>
        <v>0.45</v>
      </c>
      <c r="E5" s="46">
        <f>SUMIF('数据-基础表'!$11:$11,"住宅",'数据-基础表'!$5:$5)</f>
        <v>1</v>
      </c>
      <c r="F5" s="2651"/>
      <c r="G5" s="1141"/>
      <c r="H5" s="1022" t="s">
        <v>1106</v>
      </c>
      <c r="I5" s="851">
        <f>ROUND(E31/D31,2)</f>
        <v>2.2200000000000002</v>
      </c>
      <c r="J5" s="2651"/>
      <c r="K5" s="2651"/>
      <c r="L5" s="2651"/>
      <c r="M5" s="2651"/>
      <c r="N5" s="2651"/>
      <c r="O5" s="2651"/>
      <c r="P5" s="2651"/>
    </row>
    <row r="6" spans="1:16" ht="15" thickBot="1">
      <c r="A6" s="1640"/>
      <c r="B6" s="3587" t="s">
        <v>1111</v>
      </c>
      <c r="C6" s="3587"/>
      <c r="D6" s="45">
        <f>ROUND($D$3*E6/$E$3,2)</f>
        <v>0</v>
      </c>
      <c r="E6" s="46">
        <f>E3-E5</f>
        <v>0</v>
      </c>
      <c r="F6" s="2651"/>
      <c r="G6" s="2645" t="s">
        <v>1112</v>
      </c>
      <c r="H6" s="1142" t="s">
        <v>1113</v>
      </c>
      <c r="I6" s="2646">
        <f>ROUND(F31/D31,2)</f>
        <v>2.2200000000000002</v>
      </c>
      <c r="J6" s="2651"/>
      <c r="K6" s="2651"/>
      <c r="L6" s="2651"/>
      <c r="M6" s="2651"/>
      <c r="N6" s="2651"/>
      <c r="O6" s="2651"/>
      <c r="P6" s="2651"/>
    </row>
    <row r="7" spans="1:16" ht="15.75" thickBot="1">
      <c r="A7" s="3579"/>
      <c r="B7" s="3580"/>
      <c r="C7" s="3581"/>
      <c r="D7" s="1637" t="s">
        <v>1107</v>
      </c>
      <c r="E7" s="1641"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0.45</v>
      </c>
      <c r="E8" s="48">
        <f>SUMIF('数据-基础表'!BB10:BK10,"地上",'数据-基础表'!BB5:BK5)</f>
        <v>1</v>
      </c>
      <c r="F8" s="2651"/>
      <c r="G8" s="2652"/>
      <c r="H8" s="2652"/>
      <c r="I8" s="2651"/>
      <c r="J8" s="2651"/>
      <c r="K8" s="2651"/>
      <c r="L8" s="2651"/>
      <c r="M8" s="2651"/>
      <c r="N8" s="2651"/>
      <c r="O8" s="2651"/>
      <c r="P8" s="2651"/>
    </row>
    <row r="9" spans="1:16">
      <c r="A9" s="1642"/>
      <c r="B9" s="1643"/>
      <c r="C9" s="45" t="s">
        <v>1119</v>
      </c>
      <c r="D9" s="45">
        <f t="shared" si="0"/>
        <v>0</v>
      </c>
      <c r="E9" s="49">
        <v>0</v>
      </c>
      <c r="F9" s="2651"/>
      <c r="G9" s="2652"/>
      <c r="H9" s="2652"/>
      <c r="I9" s="2651"/>
      <c r="J9" s="2651"/>
      <c r="K9" s="2651"/>
      <c r="L9" s="2651"/>
      <c r="M9" s="2651"/>
      <c r="N9" s="2651"/>
      <c r="O9" s="2651"/>
      <c r="P9" s="2651"/>
    </row>
    <row r="10" spans="1:16">
      <c r="A10" s="1642"/>
      <c r="B10" s="1643"/>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2"/>
      <c r="B11" s="1643"/>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2"/>
      <c r="B12" s="1643"/>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2"/>
      <c r="B13" s="1643"/>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2"/>
      <c r="B14" s="1643"/>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2"/>
      <c r="B15" s="1643"/>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0"/>
      <c r="B16" s="1643"/>
      <c r="C16" s="47" t="s">
        <v>1123</v>
      </c>
      <c r="D16" s="47">
        <f>SUM(D8:D15)</f>
        <v>0.45</v>
      </c>
      <c r="E16" s="50">
        <f>SUM(E8:E15)</f>
        <v>1</v>
      </c>
      <c r="F16" s="2651"/>
      <c r="G16" s="2652"/>
      <c r="H16" s="1644" t="s">
        <v>1135</v>
      </c>
      <c r="I16" s="1645"/>
      <c r="J16" s="1135"/>
      <c r="K16" s="3576" t="s">
        <v>1135</v>
      </c>
      <c r="L16" s="3577"/>
      <c r="M16" s="3577"/>
      <c r="N16" s="3577"/>
      <c r="O16" s="3577"/>
      <c r="P16" s="3578"/>
    </row>
    <row r="17" spans="1:19" ht="15">
      <c r="A17" s="1646" t="s">
        <v>1136</v>
      </c>
      <c r="B17" s="1647" t="s">
        <v>1137</v>
      </c>
      <c r="C17" s="1648" t="s">
        <v>1138</v>
      </c>
      <c r="D17" s="1649" t="s">
        <v>1126</v>
      </c>
      <c r="E17" s="1650" t="s">
        <v>1127</v>
      </c>
      <c r="F17" s="1651"/>
      <c r="G17" s="1652"/>
      <c r="H17" s="1653" t="s">
        <v>1139</v>
      </c>
      <c r="I17" s="1654" t="s">
        <v>1124</v>
      </c>
      <c r="J17" s="1135"/>
      <c r="K17" s="3573" t="s">
        <v>1140</v>
      </c>
      <c r="L17" s="3574"/>
      <c r="M17" s="3575"/>
      <c r="N17" s="3573" t="s">
        <v>1141</v>
      </c>
      <c r="O17" s="3574"/>
      <c r="P17" s="3575"/>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9" t="s">
        <v>3408</v>
      </c>
      <c r="D19" s="45">
        <f>ROUND($D$3*E19/$E$3,2)</f>
        <v>0.45</v>
      </c>
      <c r="E19" s="53">
        <f t="shared" ref="E19:E26" si="1">SUM(F19:G19)</f>
        <v>1</v>
      </c>
      <c r="F19" s="2787">
        <f>'数据-基础表'!I13</f>
        <v>1</v>
      </c>
      <c r="G19" s="2788"/>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0.45</v>
      </c>
      <c r="S19" s="1023">
        <f t="shared" si="5"/>
        <v>1</v>
      </c>
    </row>
    <row r="20" spans="1:19">
      <c r="A20" s="1666"/>
      <c r="B20" s="47" t="s">
        <v>1153</v>
      </c>
      <c r="C20" s="3409"/>
      <c r="D20" s="45">
        <f t="shared" ref="D20:D26" si="6">ROUND($D$3*E20/$E$3,2)</f>
        <v>0</v>
      </c>
      <c r="E20" s="53">
        <f t="shared" si="1"/>
        <v>0</v>
      </c>
      <c r="F20" s="2787"/>
      <c r="G20" s="2788"/>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09"/>
      <c r="D21" s="45">
        <f t="shared" si="6"/>
        <v>0</v>
      </c>
      <c r="E21" s="53">
        <f t="shared" si="1"/>
        <v>0</v>
      </c>
      <c r="F21" s="2787"/>
      <c r="G21" s="2788"/>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0"/>
      <c r="D22" s="45">
        <f t="shared" si="6"/>
        <v>0</v>
      </c>
      <c r="E22" s="53">
        <f t="shared" si="1"/>
        <v>0</v>
      </c>
      <c r="F22" s="2789"/>
      <c r="G22" s="2790"/>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0"/>
      <c r="D23" s="45">
        <f>ROUND($D$3*E23/$E$3,2)</f>
        <v>0</v>
      </c>
      <c r="E23" s="53">
        <f>SUM(F23:G23)</f>
        <v>0</v>
      </c>
      <c r="F23" s="2789"/>
      <c r="G23" s="2790"/>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0"/>
      <c r="D24" s="45">
        <f>ROUND($D$3*E24/$E$3,2)</f>
        <v>0</v>
      </c>
      <c r="E24" s="53">
        <f>SUM(F24:G24)</f>
        <v>0</v>
      </c>
      <c r="F24" s="2789"/>
      <c r="G24" s="2790"/>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0"/>
      <c r="D25" s="45">
        <f t="shared" si="6"/>
        <v>0</v>
      </c>
      <c r="E25" s="53">
        <f t="shared" si="1"/>
        <v>0</v>
      </c>
      <c r="F25" s="2789"/>
      <c r="G25" s="2790"/>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9"/>
      <c r="G26" s="2790"/>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0.45</v>
      </c>
      <c r="S27" s="1022">
        <f>IF(SUM(S19:S26)=$E$3,SUM(S19:S26),SUM(S19:S26)&amp;"误差"&amp;ROUND(SUM(S19:S26)-E3,2))</f>
        <v>1</v>
      </c>
    </row>
    <row r="28" spans="1:19">
      <c r="A28" s="1666"/>
      <c r="B28" s="47" t="s">
        <v>1155</v>
      </c>
      <c r="C28" s="1034"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6"/>
      <c r="B29" s="47" t="s">
        <v>1155</v>
      </c>
      <c r="C29" s="1670"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6"/>
      <c r="B30" s="47"/>
      <c r="C30" s="1671" t="s">
        <v>1154</v>
      </c>
      <c r="D30" s="1136">
        <f>SUM(D28:D29)</f>
        <v>0</v>
      </c>
      <c r="E30" s="1136">
        <f>SUM(E28:E29)</f>
        <v>0</v>
      </c>
      <c r="F30" s="1136">
        <f>SUM(F28:F29)</f>
        <v>0</v>
      </c>
      <c r="G30" s="1138">
        <f>SUM(G28:G29)</f>
        <v>0</v>
      </c>
      <c r="H30" s="2651"/>
      <c r="I30" s="2651"/>
      <c r="J30" s="2651"/>
      <c r="K30" s="2651"/>
      <c r="L30" s="2651"/>
      <c r="M30" s="2651"/>
      <c r="N30" s="2651"/>
      <c r="O30" s="2651"/>
      <c r="P30" s="2651"/>
    </row>
    <row r="31" spans="1:19" ht="15.75" thickBot="1">
      <c r="A31" s="1672"/>
      <c r="B31" s="1673"/>
      <c r="C31" s="831" t="s">
        <v>1158</v>
      </c>
      <c r="D31" s="672">
        <f>D27+D30</f>
        <v>0.45</v>
      </c>
      <c r="E31" s="672">
        <f>E27+E30</f>
        <v>1</v>
      </c>
      <c r="F31" s="673">
        <f>F27+F30</f>
        <v>1</v>
      </c>
      <c r="G31" s="674">
        <f>G27+G30</f>
        <v>0</v>
      </c>
      <c r="H31" s="2651"/>
      <c r="I31" s="2651"/>
      <c r="J31" s="2651"/>
      <c r="K31" s="2651"/>
      <c r="L31" s="2651"/>
      <c r="M31" s="2651"/>
      <c r="N31" s="2651"/>
      <c r="O31" s="2651"/>
      <c r="P31" s="2651"/>
    </row>
    <row r="32" spans="1:19">
      <c r="A32" s="1639"/>
      <c r="B32" s="1639" t="s">
        <v>1159</v>
      </c>
      <c r="C32" s="1639"/>
      <c r="D32" s="1639"/>
      <c r="E32" s="1049">
        <f>SUMIF(C19:C26,"*住宅*",E19:E26)</f>
        <v>1</v>
      </c>
      <c r="F32" s="1639"/>
      <c r="G32" s="1639"/>
      <c r="H32" s="2651"/>
      <c r="I32" s="2651"/>
      <c r="J32" s="2651"/>
      <c r="K32" s="2651"/>
      <c r="L32" s="2651"/>
      <c r="M32" s="2651"/>
      <c r="N32" s="2651"/>
      <c r="O32" s="2651"/>
      <c r="P32" s="2651"/>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D30" sqref="D30"/>
    </sheetView>
  </sheetViews>
  <sheetFormatPr defaultColWidth="13.875" defaultRowHeight="12.75"/>
  <cols>
    <col min="1" max="1" width="20.875" style="1741" customWidth="1"/>
    <col min="2" max="2" width="12" style="1678" customWidth="1"/>
    <col min="3" max="3" width="12.8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875" style="1678" customWidth="1"/>
    <col min="31" max="31" width="8" style="1678" customWidth="1"/>
    <col min="32" max="34" width="7.125" style="1678" customWidth="1"/>
    <col min="35" max="39" width="8" style="1678" customWidth="1"/>
    <col min="40" max="40" width="13.875" style="1677"/>
    <col min="41" max="41" width="11.625" style="1677" customWidth="1"/>
    <col min="42" max="42" width="9.875" style="1677" customWidth="1"/>
    <col min="43" max="67" width="13.875" style="1677"/>
    <col min="68" max="16384" width="13.8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3"/>
      <c r="AO1" s="2663"/>
      <c r="AP1" s="2663"/>
      <c r="AQ1" s="2663"/>
      <c r="AR1" s="2663"/>
    </row>
    <row r="2" spans="1:67" s="1555" customFormat="1" ht="15.75" thickBot="1">
      <c r="A2" s="1679" t="s">
        <v>1161</v>
      </c>
      <c r="B2" s="1041">
        <f>项目基本情况!D3</f>
        <v>44970</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5"/>
      <c r="AO2" s="2665"/>
      <c r="AP2" s="2665"/>
      <c r="AQ2" s="2665"/>
      <c r="AR2" s="2665"/>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5"/>
      <c r="AO3" s="2665"/>
      <c r="AP3" s="2665"/>
      <c r="AQ3" s="2665"/>
      <c r="AR3" s="2665"/>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0"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5"/>
      <c r="AO4" s="2665"/>
      <c r="AP4" s="2665"/>
      <c r="AQ4" s="2665"/>
      <c r="AR4" s="2665"/>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3410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3406</v>
      </c>
      <c r="D6" s="854">
        <f>SUMIF(项目基本情况!C$12:I$12,C6,项目基本情况!C$14:I$14)</f>
        <v>70</v>
      </c>
      <c r="E6" s="853">
        <f>IF(B6="","",SUMIF(项目基本情况!C$12:I$12,C6,项目基本情况!C$13:I$13))</f>
        <v>70537</v>
      </c>
      <c r="F6" s="64">
        <f>SUMIF(项目基本情况!C$12:I$12,C6,项目基本情况!C$15:I$15)</f>
        <v>70</v>
      </c>
      <c r="G6" s="65">
        <f>IF(ISERROR(ROUND(POWER(1+H6,D6-F6)*(POWER(1+H6,F6)-1)/(POWER(1+H6,D6)-1),3)),0,ROUND(POWER(1+H6,D6-F6)*(POWER(1+H6,F6)-1)/(POWER(1+H6,D6)-1),3))</f>
        <v>1</v>
      </c>
      <c r="H6" s="728">
        <v>0.04</v>
      </c>
      <c r="I6" s="728">
        <v>4.4999999999999998E-2</v>
      </c>
      <c r="J6" s="66">
        <v>5.5E-2</v>
      </c>
      <c r="K6" s="1026">
        <f>SUMIF('数据-汇总表'!C$19:C$33,A6,'数据-汇总表'!E$19:E$33)</f>
        <v>1</v>
      </c>
      <c r="L6" s="729">
        <v>5000</v>
      </c>
      <c r="M6" s="67">
        <f t="shared" ref="M6:M14" si="0">ROUND(K6*L6/10000,0)</f>
        <v>1</v>
      </c>
      <c r="N6" s="727">
        <v>1</v>
      </c>
      <c r="O6" s="67" t="str">
        <f>IF($N$5="成新度","——",ROUND(M6*N6,0))</f>
        <v>——</v>
      </c>
      <c r="P6" s="68" t="str">
        <f>IF($N$5="成新度","——",M6-O6)</f>
        <v>——</v>
      </c>
      <c r="Q6" s="3499">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20"/>
      <c r="V6" s="70"/>
      <c r="W6" s="70"/>
      <c r="X6" s="1036"/>
      <c r="Y6" s="71"/>
      <c r="Z6" s="72"/>
      <c r="AA6" s="66"/>
      <c r="AB6" s="66"/>
      <c r="AC6" s="1036"/>
      <c r="AD6" s="73"/>
      <c r="AE6" s="1037">
        <f ca="1">IF(AN6="",0,SUMIF(INDIRECT("'"&amp;AN6&amp;"'"&amp;"!E:E"),$AE$5,INDIRECT("'"&amp;AN6&amp;"'"&amp;"!F:F")))</f>
        <v>0</v>
      </c>
      <c r="AF6" s="1344"/>
      <c r="AG6" s="136">
        <f>IF(AF6="",0,AE6-AF6)</f>
        <v>0</v>
      </c>
      <c r="AH6" s="74"/>
      <c r="AI6" s="76"/>
      <c r="AJ6" s="77"/>
      <c r="AK6" s="78"/>
      <c r="AL6" s="79"/>
      <c r="AM6" s="80"/>
      <c r="AN6" s="1711"/>
      <c r="AO6" s="52" t="e">
        <f ca="1">SUMIF(INDIRECT("'"&amp;AN6&amp;"'"&amp;"!A:A"),"总价",INDIRECT("'"&amp;AN6&amp;"'"&amp;"!B:B"))</f>
        <v>#REF!</v>
      </c>
      <c r="AP6" s="1712">
        <f>IF(C6="住宅",K6*L6,0)</f>
        <v>5000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0"/>
      <c r="V7" s="70"/>
      <c r="W7" s="70"/>
      <c r="X7" s="1036"/>
      <c r="Y7" s="71"/>
      <c r="Z7" s="72"/>
      <c r="AA7" s="66"/>
      <c r="AB7" s="66"/>
      <c r="AC7" s="1036"/>
      <c r="AD7" s="73"/>
      <c r="AE7" s="1037">
        <f t="shared" ref="AE7:AE13" ca="1" si="6">IF(AN7="",0,SUMIF(INDIRECT("'"&amp;AN7&amp;"'"&amp;"!E:E"),$AE$5,INDIRECT("'"&amp;AN7&amp;"'"&amp;"!F:F")))</f>
        <v>0</v>
      </c>
      <c r="AF7" s="1344"/>
      <c r="AG7" s="136">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1"/>
      <c r="V8" s="731"/>
      <c r="W8" s="731"/>
      <c r="X8" s="1036"/>
      <c r="Y8" s="71"/>
      <c r="Z8" s="72"/>
      <c r="AA8" s="66"/>
      <c r="AB8" s="66"/>
      <c r="AC8" s="1036"/>
      <c r="AD8" s="73"/>
      <c r="AE8" s="1037">
        <f t="shared" ca="1" si="6"/>
        <v>0</v>
      </c>
      <c r="AF8" s="1344"/>
      <c r="AG8" s="136">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0"/>
      <c r="V9" s="70"/>
      <c r="W9" s="70"/>
      <c r="X9" s="1036"/>
      <c r="Y9" s="71"/>
      <c r="Z9" s="72"/>
      <c r="AA9" s="66"/>
      <c r="AB9" s="66"/>
      <c r="AC9" s="1036"/>
      <c r="AD9" s="73"/>
      <c r="AE9" s="1037">
        <f t="shared" ca="1" si="6"/>
        <v>0</v>
      </c>
      <c r="AF9" s="1344"/>
      <c r="AG9" s="136">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0"/>
      <c r="V10" s="70"/>
      <c r="W10" s="70"/>
      <c r="X10" s="1036"/>
      <c r="Y10" s="71"/>
      <c r="Z10" s="72"/>
      <c r="AA10" s="66"/>
      <c r="AB10" s="66"/>
      <c r="AC10" s="1036"/>
      <c r="AD10" s="73"/>
      <c r="AE10" s="1037">
        <f t="shared" ca="1" si="6"/>
        <v>0</v>
      </c>
      <c r="AF10" s="1344"/>
      <c r="AG10" s="136">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0"/>
      <c r="V11" s="66"/>
      <c r="W11" s="66"/>
      <c r="X11" s="1036"/>
      <c r="Y11" s="71"/>
      <c r="Z11" s="84"/>
      <c r="AA11" s="66"/>
      <c r="AB11" s="66"/>
      <c r="AC11" s="1036"/>
      <c r="AD11" s="73"/>
      <c r="AE11" s="1037">
        <f t="shared" ca="1" si="6"/>
        <v>0</v>
      </c>
      <c r="AF11" s="1344"/>
      <c r="AG11" s="136">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0"/>
      <c r="V12" s="66"/>
      <c r="W12" s="66"/>
      <c r="X12" s="1036"/>
      <c r="Y12" s="71"/>
      <c r="Z12" s="84"/>
      <c r="AA12" s="66"/>
      <c r="AB12" s="66"/>
      <c r="AC12" s="1036"/>
      <c r="AD12" s="73"/>
      <c r="AE12" s="1037">
        <f t="shared" ca="1" si="6"/>
        <v>0</v>
      </c>
      <c r="AF12" s="1344"/>
      <c r="AG12" s="136">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2"/>
      <c r="V13" s="70"/>
      <c r="W13" s="70"/>
      <c r="X13" s="1036"/>
      <c r="Y13" s="71"/>
      <c r="Z13" s="72"/>
      <c r="AA13" s="66"/>
      <c r="AB13" s="66"/>
      <c r="AC13" s="1036"/>
      <c r="AD13" s="73"/>
      <c r="AE13" s="1037">
        <f t="shared" ca="1" si="6"/>
        <v>0</v>
      </c>
      <c r="AF13" s="1344"/>
      <c r="AG13" s="136">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3"/>
      <c r="AJ14" s="700"/>
      <c r="AK14" s="1038"/>
      <c r="AL14" s="1039"/>
      <c r="AM14" s="1040"/>
      <c r="AN14" s="2663"/>
      <c r="AO14" s="2665"/>
      <c r="AP14" s="2665"/>
      <c r="AQ14" s="2665"/>
      <c r="AR14" s="2665"/>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3"/>
      <c r="AJ15" s="700"/>
      <c r="AK15" s="1038"/>
      <c r="AL15" s="1039"/>
      <c r="AM15" s="1040"/>
      <c r="AN15" s="2663"/>
      <c r="AO15" s="2665"/>
      <c r="AP15" s="2665"/>
      <c r="AQ15" s="2665"/>
      <c r="AR15" s="2665"/>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8" t="s">
        <v>1211</v>
      </c>
      <c r="B19" s="103">
        <v>0</v>
      </c>
      <c r="C19" s="2791" t="s">
        <v>2302</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9" t="s">
        <v>1212</v>
      </c>
      <c r="B20" s="104">
        <v>3</v>
      </c>
      <c r="C20" s="2792" t="s">
        <v>2300</v>
      </c>
      <c r="D20" s="2668"/>
      <c r="E20" s="2665"/>
      <c r="F20" s="2665"/>
      <c r="G20" s="2665"/>
      <c r="H20" s="2665"/>
      <c r="I20" s="2665"/>
      <c r="J20" s="2665"/>
      <c r="K20" s="2664"/>
      <c r="L20" s="2664"/>
      <c r="M20" s="2663"/>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0" t="s">
        <v>1213</v>
      </c>
      <c r="B21" s="104">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9"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0"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1"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3"/>
      <c r="B25" s="1683"/>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9" t="s">
        <v>1217</v>
      </c>
      <c r="B26" s="1722"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4" customFormat="1" ht="27.75">
      <c r="A27" s="1723" t="s">
        <v>1220</v>
      </c>
      <c r="B27" s="107">
        <v>160</v>
      </c>
      <c r="C27" s="2793" t="s">
        <v>2304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4" t="s">
        <v>2291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86">
        <v>0.05</v>
      </c>
      <c r="C33" s="2795" t="s">
        <v>2292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3487">
        <v>0.05</v>
      </c>
      <c r="C34" s="2795" t="s">
        <v>2293</v>
      </c>
      <c r="D34" s="2676" t="s">
        <v>2301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5" t="s">
        <v>2294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0.03</v>
      </c>
      <c r="C36" s="2795" t="s">
        <v>2295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7" t="s">
        <v>1230</v>
      </c>
      <c r="B37" s="3498">
        <v>0.03</v>
      </c>
      <c r="C37" s="2795" t="s">
        <v>2296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5" t="s">
        <v>1231</v>
      </c>
      <c r="B38" s="3487">
        <v>0.03</v>
      </c>
      <c r="C38" s="2795" t="s">
        <v>2296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8"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29.25" thickBot="1">
      <c r="A40" s="2807" t="s">
        <v>3409</v>
      </c>
      <c r="B40" s="1074">
        <f ca="1">IF(A40="利息：取LPR",存贷款利率!G1,存贷款利率!G1+C40)</f>
        <v>4.7500000000000001E-2</v>
      </c>
      <c r="C40" s="2806">
        <v>1.0999999999999999E-2</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3" t="s">
        <v>1233</v>
      </c>
      <c r="B41" s="114">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9" t="s">
        <v>1234</v>
      </c>
      <c r="B42" s="115">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9" t="s">
        <v>1235</v>
      </c>
      <c r="B43" s="116">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0" t="s">
        <v>1236</v>
      </c>
      <c r="B44" s="117">
        <v>0.05</v>
      </c>
      <c r="C44" s="2795" t="s">
        <v>2305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0" t="s">
        <v>1237</v>
      </c>
      <c r="B45" s="115">
        <v>0.03</v>
      </c>
      <c r="C45" s="2794" t="s">
        <v>2297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0" t="s">
        <v>1238</v>
      </c>
      <c r="B46" s="115">
        <v>0.02</v>
      </c>
      <c r="C46" s="2794" t="s">
        <v>2298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1" t="s">
        <v>1239</v>
      </c>
      <c r="B47" s="118"/>
      <c r="C47" s="2797" t="s">
        <v>2306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2" t="s">
        <v>1240</v>
      </c>
      <c r="B48" s="119">
        <v>0.03</v>
      </c>
      <c r="C48" s="2794" t="s">
        <v>2297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8" t="s">
        <v>1241</v>
      </c>
      <c r="B49" s="115">
        <v>5.0000000000000001E-4</v>
      </c>
      <c r="C49" s="2794" t="s">
        <v>2299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3" t="s">
        <v>1242</v>
      </c>
      <c r="B50" s="120">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6" t="s">
        <v>1243</v>
      </c>
      <c r="B51" s="121">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3" t="s">
        <v>1244</v>
      </c>
      <c r="B52" s="122">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5" t="s">
        <v>1245</v>
      </c>
      <c r="B53" s="1734" t="s">
        <v>29</v>
      </c>
      <c r="C53" s="2653" t="s">
        <v>1246</v>
      </c>
      <c r="D53" s="2796" t="s">
        <v>2303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5"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5"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5"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5"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5"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5"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5"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5"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5"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6" t="s">
        <v>1256</v>
      </c>
      <c r="B63" s="123"/>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9"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9"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9"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9"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9"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2" customWidth="1"/>
    <col min="2" max="2" width="24.5" style="1568" customWidth="1"/>
    <col min="3" max="3" width="24.5" style="2502" customWidth="1"/>
    <col min="4" max="4" width="2.625" style="2502" customWidth="1"/>
    <col min="5" max="5" width="5.875" style="2502" customWidth="1"/>
    <col min="6" max="6" width="27" style="1568" customWidth="1"/>
    <col min="7" max="7" width="27" style="2503" customWidth="1"/>
    <col min="8" max="8" width="11.875" style="2483" customWidth="1"/>
    <col min="9" max="9" width="16.875" style="2484" customWidth="1"/>
    <col min="10" max="10" width="2.625" style="2483" customWidth="1"/>
    <col min="11" max="11" width="11.875" style="2483" customWidth="1"/>
    <col min="12" max="12" width="16.875" style="2484" customWidth="1"/>
    <col min="13" max="13" width="2.625" style="2483" customWidth="1"/>
    <col min="14" max="14" width="11.875" style="2483" customWidth="1"/>
    <col min="15" max="15" width="16.875" style="2484" customWidth="1"/>
    <col min="16" max="16" width="2.625" style="2483" customWidth="1"/>
    <col min="17" max="17" width="11.875" style="2483" customWidth="1"/>
    <col min="18" max="18" width="16.875" style="2485" customWidth="1"/>
    <col min="19" max="29" width="9" style="795"/>
    <col min="30" max="16384" width="9" style="1682"/>
  </cols>
  <sheetData>
    <row r="1" spans="1:29" s="2450" customFormat="1" ht="18.75" thickBot="1">
      <c r="A1" s="3588" t="s">
        <v>2283</v>
      </c>
      <c r="B1" s="3589"/>
      <c r="C1" s="3589"/>
      <c r="D1" s="3589"/>
      <c r="E1" s="3589"/>
      <c r="F1" s="3589"/>
      <c r="G1" s="3589"/>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5"/>
      <c r="I2" s="795"/>
      <c r="J2" s="795"/>
      <c r="K2" s="795"/>
      <c r="L2" s="795"/>
      <c r="M2" s="795"/>
      <c r="N2" s="795"/>
      <c r="O2" s="795"/>
      <c r="P2" s="795"/>
      <c r="Q2" s="795"/>
      <c r="R2" s="795"/>
    </row>
    <row r="3" spans="1:29" ht="60">
      <c r="A3" s="2434" t="s">
        <v>2281</v>
      </c>
      <c r="B3" s="2456" t="s">
        <v>2252</v>
      </c>
      <c r="C3" s="3458" t="s">
        <v>3511</v>
      </c>
      <c r="D3" s="2457"/>
      <c r="E3" s="2435" t="s">
        <v>2281</v>
      </c>
      <c r="F3" s="2458" t="s">
        <v>2253</v>
      </c>
      <c r="G3" s="2459" t="s">
        <v>2282</v>
      </c>
      <c r="H3" s="795"/>
      <c r="I3" s="795"/>
      <c r="J3" s="795"/>
      <c r="K3" s="795"/>
      <c r="L3" s="795"/>
      <c r="M3" s="795"/>
      <c r="N3" s="795"/>
      <c r="O3" s="795"/>
      <c r="P3" s="795"/>
      <c r="Q3" s="795"/>
      <c r="R3" s="795"/>
    </row>
    <row r="4" spans="1:29" ht="36.75">
      <c r="A4" s="2435"/>
      <c r="B4" s="320" t="s">
        <v>2254</v>
      </c>
      <c r="C4" s="2460" t="s">
        <v>3512</v>
      </c>
      <c r="D4" s="2457"/>
      <c r="E4" s="2461"/>
      <c r="F4" s="1369" t="s">
        <v>2255</v>
      </c>
      <c r="G4" s="2462" t="s">
        <v>2256</v>
      </c>
      <c r="H4" s="795"/>
      <c r="I4" s="795"/>
      <c r="J4" s="795"/>
      <c r="K4" s="795"/>
      <c r="L4" s="795"/>
      <c r="M4" s="795"/>
      <c r="N4" s="795"/>
      <c r="O4" s="795"/>
      <c r="P4" s="795"/>
      <c r="Q4" s="795"/>
      <c r="R4" s="795"/>
    </row>
    <row r="5" spans="1:29" ht="36.75">
      <c r="A5" s="2435"/>
      <c r="B5" s="320" t="s">
        <v>2257</v>
      </c>
      <c r="C5" s="2460" t="s">
        <v>2258</v>
      </c>
      <c r="D5" s="2457"/>
      <c r="E5" s="2461"/>
      <c r="F5" s="320" t="s">
        <v>2259</v>
      </c>
      <c r="G5" s="2462" t="s">
        <v>2260</v>
      </c>
      <c r="H5" s="795"/>
      <c r="I5" s="795"/>
      <c r="J5" s="795"/>
      <c r="K5" s="795"/>
      <c r="L5" s="795"/>
      <c r="M5" s="795"/>
      <c r="N5" s="795"/>
      <c r="O5" s="795"/>
      <c r="P5" s="795"/>
      <c r="Q5" s="795"/>
      <c r="R5" s="795"/>
    </row>
    <row r="6" spans="1:29" ht="60">
      <c r="A6" s="2435"/>
      <c r="B6" s="320" t="s">
        <v>2261</v>
      </c>
      <c r="C6" s="3459" t="s">
        <v>3513</v>
      </c>
      <c r="D6" s="2457"/>
      <c r="E6" s="2461"/>
      <c r="F6" s="320" t="s">
        <v>2262</v>
      </c>
      <c r="G6" s="2462" t="s">
        <v>2263</v>
      </c>
      <c r="H6" s="795"/>
      <c r="I6" s="795"/>
      <c r="J6" s="795"/>
      <c r="K6" s="795"/>
      <c r="L6" s="795"/>
      <c r="M6" s="795"/>
      <c r="N6" s="795"/>
      <c r="O6" s="795"/>
      <c r="P6" s="795"/>
      <c r="Q6" s="795"/>
      <c r="R6" s="795"/>
    </row>
    <row r="7" spans="1:29" ht="60.75" thickBot="1">
      <c r="A7" s="2435"/>
      <c r="B7" s="320" t="s">
        <v>2259</v>
      </c>
      <c r="C7" s="3459" t="s">
        <v>3514</v>
      </c>
      <c r="D7" s="2463"/>
      <c r="E7" s="2464"/>
      <c r="F7" s="2465" t="s">
        <v>2264</v>
      </c>
      <c r="G7" s="2466" t="s">
        <v>2265</v>
      </c>
      <c r="H7" s="795"/>
      <c r="I7" s="795"/>
      <c r="J7" s="795"/>
      <c r="K7" s="795"/>
      <c r="L7" s="795"/>
      <c r="M7" s="795"/>
      <c r="N7" s="795"/>
      <c r="O7" s="795"/>
      <c r="P7" s="795"/>
      <c r="Q7" s="795"/>
      <c r="R7" s="795"/>
    </row>
    <row r="8" spans="1:29" ht="24">
      <c r="A8" s="2435"/>
      <c r="B8" s="320" t="s">
        <v>2262</v>
      </c>
      <c r="C8" s="3459" t="s">
        <v>3515</v>
      </c>
      <c r="D8" s="2463"/>
      <c r="E8" s="2463"/>
      <c r="F8" s="2467"/>
      <c r="G8" s="2467"/>
      <c r="H8" s="795"/>
      <c r="I8" s="795"/>
      <c r="J8" s="795"/>
      <c r="K8" s="795"/>
      <c r="L8" s="795"/>
      <c r="M8" s="795"/>
      <c r="N8" s="795"/>
      <c r="O8" s="795"/>
      <c r="P8" s="795"/>
      <c r="Q8" s="795"/>
      <c r="R8" s="795"/>
    </row>
    <row r="9" spans="1:29" ht="36">
      <c r="A9" s="2435"/>
      <c r="B9" s="320" t="s">
        <v>2266</v>
      </c>
      <c r="C9" s="3460" t="s">
        <v>3516</v>
      </c>
      <c r="D9" s="2457"/>
      <c r="E9" s="2463"/>
      <c r="F9" s="2467"/>
      <c r="G9" s="2467"/>
      <c r="H9" s="795"/>
      <c r="I9" s="795"/>
      <c r="J9" s="795"/>
      <c r="K9" s="795"/>
      <c r="L9" s="795"/>
      <c r="M9" s="795"/>
      <c r="N9" s="795"/>
      <c r="O9" s="795"/>
      <c r="P9" s="795"/>
      <c r="Q9" s="795"/>
      <c r="R9" s="795"/>
    </row>
    <row r="10" spans="1:29" s="2473" customFormat="1" ht="15" thickBot="1">
      <c r="A10" s="2436"/>
      <c r="B10" s="2468" t="s">
        <v>2267</v>
      </c>
      <c r="C10" s="2469"/>
      <c r="D10" s="2457"/>
      <c r="E10" s="2457"/>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0" customFormat="1" ht="18">
      <c r="A12" s="2474"/>
      <c r="B12" s="2463"/>
      <c r="C12" s="2457"/>
      <c r="D12" s="2476"/>
      <c r="E12" s="2457"/>
      <c r="F12" s="2463"/>
      <c r="G12" s="2475"/>
      <c r="H12" s="2477"/>
      <c r="I12" s="2478"/>
      <c r="J12" s="2477"/>
      <c r="K12" s="2477"/>
      <c r="L12" s="2479"/>
      <c r="M12" s="2477"/>
      <c r="N12" s="2480"/>
      <c r="O12" s="2481"/>
      <c r="P12" s="2480"/>
      <c r="Q12" s="2480"/>
      <c r="R12" s="2448"/>
      <c r="S12" s="2449"/>
      <c r="T12" s="2449"/>
      <c r="U12" s="2449"/>
      <c r="V12" s="2449"/>
      <c r="W12" s="2449"/>
      <c r="X12" s="2449"/>
      <c r="Y12" s="2449"/>
      <c r="Z12" s="2449"/>
      <c r="AA12" s="2449"/>
      <c r="AB12" s="2449"/>
      <c r="AC12" s="2449"/>
    </row>
    <row r="13" spans="1:29" ht="15.75" thickBot="1">
      <c r="A13" s="2482" t="s">
        <v>2284</v>
      </c>
      <c r="B13" s="2476"/>
      <c r="C13" s="2476"/>
      <c r="D13" s="2474"/>
      <c r="E13" s="2476"/>
      <c r="F13" s="2476"/>
      <c r="G13" s="2476"/>
    </row>
    <row r="14" spans="1:29" ht="15" thickBot="1">
      <c r="A14" s="2486"/>
      <c r="B14" s="2486"/>
      <c r="C14" s="2487" t="s">
        <v>2268</v>
      </c>
      <c r="D14" s="2457"/>
      <c r="E14" s="2488"/>
      <c r="F14" s="2488"/>
      <c r="G14" s="2453" t="s">
        <v>2269</v>
      </c>
    </row>
    <row r="15" spans="1:29" ht="63.75">
      <c r="A15" s="2437" t="s">
        <v>2270</v>
      </c>
      <c r="B15" s="2489" t="s">
        <v>2252</v>
      </c>
      <c r="C15" s="2490" t="str">
        <f>C3</f>
        <v>估价对象周边有瀛海家园、永旭家园、兴海园、玉璟园等住宅小区，居住用地比例、居住小区规模和社区发展完善程度，综合评价居住社区成熟度一般</v>
      </c>
      <c r="D15" s="2457"/>
      <c r="E15" s="2438" t="s">
        <v>2271</v>
      </c>
      <c r="F15" s="2489" t="s">
        <v>2272</v>
      </c>
      <c r="G15" s="2491" t="str">
        <f>G3</f>
        <v>估价对象位于XX开发区，园区建设成熟度XX，产业集聚程度XX</v>
      </c>
    </row>
    <row r="16" spans="1:29" ht="38.25">
      <c r="A16" s="2439"/>
      <c r="B16" s="2492" t="s">
        <v>2254</v>
      </c>
      <c r="C16" s="2493" t="str">
        <f>C4</f>
        <v>估价对象位于XX商圈，周边商业氛围成熟，人流量大，商业繁华度好</v>
      </c>
      <c r="D16" s="2457"/>
      <c r="E16" s="2440"/>
      <c r="F16" s="2494" t="s">
        <v>2255</v>
      </c>
      <c r="G16" s="2495" t="str">
        <f>G4</f>
        <v>估价对象周边道路状况、公共交通通达情况、停车便捷程度，综合评价交通便捷度较好</v>
      </c>
    </row>
    <row r="17" spans="1:18" ht="38.25">
      <c r="A17" s="2439"/>
      <c r="B17" s="2492" t="s">
        <v>2257</v>
      </c>
      <c r="C17" s="2493" t="str">
        <f>C5</f>
        <v>估价对象位于XX商圈，周边办公楼项目较多，入驻率高，办公集聚程度较好</v>
      </c>
      <c r="D17" s="2463"/>
      <c r="E17" s="2440"/>
      <c r="F17" s="2494" t="s">
        <v>2273</v>
      </c>
      <c r="G17" s="2496"/>
    </row>
    <row r="18" spans="1:18" ht="63.75">
      <c r="A18" s="2439"/>
      <c r="B18" s="2494" t="s">
        <v>2261</v>
      </c>
      <c r="C18" s="2495" t="str">
        <f>C6</f>
        <v>估价对象邻近城市高速路-京台高速，附近有兴16路、兴38路、专83路等公交线路，周边道路状况、公共交通通达情况、停车便捷程度，综合评价交通便捷度较好</v>
      </c>
      <c r="D18" s="2463"/>
      <c r="E18" s="2440"/>
      <c r="F18" s="2494" t="s">
        <v>2264</v>
      </c>
      <c r="G18" s="2495" t="str">
        <f>G7</f>
        <v>该园区内是否有污染型企业，绿化情况，卫生条件，整体环境状况判断</v>
      </c>
    </row>
    <row r="19" spans="1:18" ht="25.5">
      <c r="A19" s="2439"/>
      <c r="B19" s="2494" t="s">
        <v>2274</v>
      </c>
      <c r="C19" s="2496"/>
      <c r="D19" s="2457"/>
      <c r="E19" s="2440"/>
      <c r="F19" s="320" t="s">
        <v>2259</v>
      </c>
      <c r="G19" s="2495" t="str">
        <f>G5</f>
        <v>估价对象所在区域公共配套设施齐备情况</v>
      </c>
    </row>
    <row r="20" spans="1:18" ht="38.25">
      <c r="A20" s="2439"/>
      <c r="B20" s="2494" t="s">
        <v>2275</v>
      </c>
      <c r="C20" s="2493" t="str">
        <f>C9</f>
        <v>周边3公里范围内有南海子公园、志远庄公园等自然景观，人文景观较少，综合评价环境状况一般</v>
      </c>
      <c r="D20" s="2463"/>
      <c r="E20" s="2440"/>
      <c r="F20" s="320" t="s">
        <v>2262</v>
      </c>
      <c r="G20" s="2495" t="str">
        <f>G6</f>
        <v>估价对象所在区域基础设施水平</v>
      </c>
    </row>
    <row r="21" spans="1:18" ht="63.75">
      <c r="A21" s="2439"/>
      <c r="B21" s="320" t="s">
        <v>2259</v>
      </c>
      <c r="C21" s="2495" t="str">
        <f>C7</f>
        <v>估价对象周边有红星中学、瀛海镇第一中心小学、瀛海一幼幼儿园等教育机构，有肃宁正骨医院医疗设施，有北京农商银行等金融机构，公共配套设施状况一般</v>
      </c>
      <c r="D21" s="2457"/>
      <c r="E21" s="2440"/>
      <c r="F21" s="2494" t="s">
        <v>2276</v>
      </c>
      <c r="G21" s="2497"/>
    </row>
    <row r="22" spans="1:18" ht="13.5" customHeight="1">
      <c r="A22" s="2439"/>
      <c r="B22" s="320" t="s">
        <v>2262</v>
      </c>
      <c r="C22" s="2495" t="str">
        <f>C8</f>
        <v>估价对象所在区域基础设施水平-六通</v>
      </c>
      <c r="D22" s="2457"/>
      <c r="E22" s="2440"/>
      <c r="F22" s="2494" t="s">
        <v>2267</v>
      </c>
      <c r="G22" s="2496"/>
    </row>
    <row r="23" spans="1:18" s="795" customFormat="1" ht="15" thickBot="1">
      <c r="A23" s="2439"/>
      <c r="B23" s="2494" t="s">
        <v>2276</v>
      </c>
      <c r="C23" s="2497"/>
      <c r="D23" s="1737"/>
      <c r="E23" s="2441"/>
      <c r="F23" s="2498" t="s">
        <v>2277</v>
      </c>
      <c r="G23" s="2499"/>
      <c r="H23" s="2483"/>
      <c r="I23" s="2484"/>
      <c r="J23" s="2483"/>
      <c r="K23" s="2483"/>
      <c r="L23" s="2484"/>
      <c r="M23" s="2483"/>
      <c r="N23" s="2483"/>
      <c r="O23" s="2484"/>
      <c r="P23" s="2483"/>
      <c r="Q23" s="2483"/>
      <c r="R23" s="2485"/>
    </row>
    <row r="24" spans="1:18" s="795" customFormat="1" ht="15" thickBot="1">
      <c r="A24" s="2442"/>
      <c r="B24" s="2498" t="s">
        <v>2278</v>
      </c>
      <c r="C24" s="2500">
        <f>C10</f>
        <v>0</v>
      </c>
      <c r="D24" s="1737"/>
      <c r="E24" s="2432"/>
      <c r="F24" s="2432"/>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SheetLayoutView="100" zoomScalePageLayoutView="80" workbookViewId="0">
      <selection activeCell="G7" sqref="G7"/>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t="s">
        <v>3408</v>
      </c>
      <c r="D1" s="1743"/>
      <c r="E1" s="1743"/>
      <c r="F1" s="1745" t="s">
        <v>1263</v>
      </c>
      <c r="G1" s="1557" t="s">
        <v>3411</v>
      </c>
      <c r="H1" s="1746" t="str">
        <f>IF(G1="现房","——","估价对象范围")</f>
        <v>——</v>
      </c>
      <c r="I1" s="1747" t="s">
        <v>3412</v>
      </c>
    </row>
    <row r="2" spans="1:12" ht="21.75" customHeight="1" thickBot="1">
      <c r="A2" s="3657" t="str">
        <f>项目基本情况!S2</f>
        <v>北京市房地产</v>
      </c>
      <c r="B2" s="3658"/>
      <c r="C2" s="3658"/>
      <c r="D2" s="3658"/>
      <c r="E2" s="3658"/>
      <c r="F2" s="3658"/>
      <c r="G2" s="3658"/>
      <c r="H2" s="3658"/>
      <c r="I2" s="3659"/>
    </row>
    <row r="3" spans="1:12" ht="12.75">
      <c r="A3" s="3661" t="s">
        <v>1264</v>
      </c>
      <c r="B3" s="3662"/>
      <c r="C3" s="3662"/>
      <c r="D3" s="3662"/>
      <c r="E3" s="3662"/>
      <c r="F3" s="3662"/>
      <c r="G3" s="3662"/>
      <c r="H3" s="3662"/>
      <c r="I3" s="3662"/>
    </row>
    <row r="4" spans="1:12" ht="14.25">
      <c r="A4" s="1750" t="s">
        <v>1265</v>
      </c>
      <c r="B4" s="1751" t="s">
        <v>1266</v>
      </c>
      <c r="C4" s="1752" t="s">
        <v>3413</v>
      </c>
      <c r="D4" s="1752" t="s">
        <v>3414</v>
      </c>
      <c r="E4" s="3666" t="s">
        <v>1267</v>
      </c>
      <c r="F4" s="3667"/>
      <c r="G4" s="3667"/>
      <c r="H4" s="3667"/>
      <c r="I4" s="3668"/>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05" t="s">
        <v>1268</v>
      </c>
      <c r="B5" s="3660">
        <v>25</v>
      </c>
      <c r="C5" s="3663">
        <v>0.5</v>
      </c>
      <c r="D5" s="3651">
        <f>1-C5</f>
        <v>0.5</v>
      </c>
      <c r="E5" s="129" t="s">
        <v>1269</v>
      </c>
      <c r="F5" s="1753"/>
      <c r="G5" s="1753"/>
      <c r="H5" s="1753"/>
      <c r="I5" s="1369"/>
    </row>
    <row r="6" spans="1:12" ht="12.75">
      <c r="A6" s="3605"/>
      <c r="B6" s="3660"/>
      <c r="C6" s="3665"/>
      <c r="D6" s="3651"/>
      <c r="E6" s="129" t="s">
        <v>1270</v>
      </c>
      <c r="F6" s="1753"/>
      <c r="G6" s="1753"/>
      <c r="H6" s="1753"/>
      <c r="I6" s="1369"/>
    </row>
    <row r="7" spans="1:12" ht="12.75">
      <c r="A7" s="3605"/>
      <c r="B7" s="3660"/>
      <c r="C7" s="3664"/>
      <c r="D7" s="3651"/>
      <c r="E7" s="129" t="s">
        <v>1271</v>
      </c>
      <c r="F7" s="1753"/>
      <c r="G7" s="1753"/>
      <c r="H7" s="1753"/>
      <c r="I7" s="1369"/>
    </row>
    <row r="8" spans="1:12" ht="12.75" hidden="1">
      <c r="A8" s="3605" t="s">
        <v>1272</v>
      </c>
      <c r="B8" s="3660">
        <v>15</v>
      </c>
      <c r="C8" s="3663"/>
      <c r="D8" s="3651"/>
      <c r="E8" s="129" t="s">
        <v>1273</v>
      </c>
      <c r="F8" s="1753"/>
      <c r="G8" s="1753"/>
      <c r="H8" s="1753"/>
      <c r="I8" s="1369"/>
    </row>
    <row r="9" spans="1:12" ht="12.75" hidden="1">
      <c r="A9" s="3605"/>
      <c r="B9" s="3660"/>
      <c r="C9" s="3664"/>
      <c r="D9" s="3651"/>
      <c r="E9" s="129" t="s">
        <v>1274</v>
      </c>
      <c r="F9" s="1753"/>
      <c r="G9" s="1753"/>
      <c r="H9" s="1753"/>
      <c r="I9" s="1369"/>
    </row>
    <row r="10" spans="1:12" ht="12.75" hidden="1">
      <c r="A10" s="3605" t="s">
        <v>1275</v>
      </c>
      <c r="B10" s="3660">
        <v>15</v>
      </c>
      <c r="C10" s="3663"/>
      <c r="D10" s="3651"/>
      <c r="E10" s="129" t="s">
        <v>1276</v>
      </c>
      <c r="F10" s="1753"/>
      <c r="G10" s="1753"/>
      <c r="H10" s="1753"/>
      <c r="I10" s="1369"/>
    </row>
    <row r="11" spans="1:12" ht="12.75" hidden="1">
      <c r="A11" s="3605"/>
      <c r="B11" s="3660"/>
      <c r="C11" s="3664"/>
      <c r="D11" s="3651"/>
      <c r="E11" s="129" t="s">
        <v>1277</v>
      </c>
      <c r="F11" s="1753"/>
      <c r="G11" s="1753"/>
      <c r="H11" s="1753"/>
      <c r="I11" s="1369"/>
    </row>
    <row r="12" spans="1:12" ht="12.75" hidden="1">
      <c r="A12" s="3605" t="s">
        <v>1278</v>
      </c>
      <c r="B12" s="3660">
        <v>15</v>
      </c>
      <c r="C12" s="3663"/>
      <c r="D12" s="3651"/>
      <c r="E12" s="129" t="s">
        <v>1279</v>
      </c>
      <c r="F12" s="1753"/>
      <c r="G12" s="1753"/>
      <c r="H12" s="1753"/>
      <c r="I12" s="1369"/>
    </row>
    <row r="13" spans="1:12" ht="12.75" hidden="1">
      <c r="A13" s="3605"/>
      <c r="B13" s="3660"/>
      <c r="C13" s="3664"/>
      <c r="D13" s="3651"/>
      <c r="E13" s="129" t="s">
        <v>1280</v>
      </c>
      <c r="F13" s="1753"/>
      <c r="G13" s="1753"/>
      <c r="H13" s="1753"/>
      <c r="I13" s="1369"/>
    </row>
    <row r="14" spans="1:12" ht="12.75" hidden="1">
      <c r="A14" s="3605" t="s">
        <v>1281</v>
      </c>
      <c r="B14" s="3660">
        <v>30</v>
      </c>
      <c r="C14" s="3663"/>
      <c r="D14" s="3651"/>
      <c r="E14" s="129" t="s">
        <v>1282</v>
      </c>
      <c r="F14" s="1753"/>
      <c r="G14" s="1753"/>
      <c r="H14" s="1753"/>
      <c r="I14" s="1369"/>
    </row>
    <row r="15" spans="1:12" ht="12.75" hidden="1">
      <c r="A15" s="3605"/>
      <c r="B15" s="3660"/>
      <c r="C15" s="3665"/>
      <c r="D15" s="3651"/>
      <c r="E15" s="129" t="s">
        <v>1283</v>
      </c>
      <c r="F15" s="1753"/>
      <c r="G15" s="1753"/>
      <c r="H15" s="1753"/>
      <c r="I15" s="1369"/>
    </row>
    <row r="16" spans="1:12" ht="12.75" hidden="1">
      <c r="A16" s="3605"/>
      <c r="B16" s="3660"/>
      <c r="C16" s="3664"/>
      <c r="D16" s="3651"/>
      <c r="E16" s="129" t="s">
        <v>1284</v>
      </c>
      <c r="F16" s="1753"/>
      <c r="G16" s="1753"/>
      <c r="H16" s="1753"/>
      <c r="I16" s="1369"/>
    </row>
    <row r="17" spans="1:36" ht="15">
      <c r="A17" s="1754" t="s">
        <v>1285</v>
      </c>
      <c r="B17" s="56"/>
      <c r="C17" s="130">
        <f>SUM(C5:C16)</f>
        <v>0.5</v>
      </c>
      <c r="D17" s="130">
        <f>SUM(D5:D16)</f>
        <v>0.5</v>
      </c>
      <c r="E17" s="127"/>
      <c r="F17" s="127"/>
      <c r="G17" s="127"/>
      <c r="H17" s="127"/>
      <c r="I17" s="127"/>
      <c r="K17" s="299"/>
      <c r="L17" s="299" t="s">
        <v>1286</v>
      </c>
      <c r="M17" s="299" t="s">
        <v>1287</v>
      </c>
    </row>
    <row r="18" spans="1:36" ht="32.1" customHeight="1" thickBot="1">
      <c r="A18" s="1755" t="s">
        <v>1288</v>
      </c>
      <c r="B18" s="1756"/>
      <c r="C18" s="131">
        <f>ROUND(C17/SUM(C17:D17),2)</f>
        <v>0.5</v>
      </c>
      <c r="D18" s="131">
        <f>1-C18</f>
        <v>0.5</v>
      </c>
      <c r="E18" s="3682" t="s">
        <v>2131</v>
      </c>
      <c r="F18" s="3683"/>
      <c r="G18" s="3683"/>
      <c r="H18" s="3683"/>
      <c r="I18" s="3683"/>
      <c r="K18" s="299" t="s">
        <v>1289</v>
      </c>
      <c r="L18" s="299">
        <f>IF(C1="",'数据-汇总表'!E3,SUMIF(项目类型,C1,'数据-汇总表'!E17:E26)+SUMIF(项目类型,C1,'数据-汇总表'!I17:I26))</f>
        <v>1</v>
      </c>
      <c r="M18" s="299">
        <f>IF(C1="",'数据-汇总表'!E3,SUMIF(项目类型,C1,'数据-汇总表'!E17:E26))</f>
        <v>1</v>
      </c>
    </row>
    <row r="19" spans="1:36" ht="15">
      <c r="A19" s="1757" t="s">
        <v>1290</v>
      </c>
      <c r="B19" s="1758" t="s">
        <v>1291</v>
      </c>
      <c r="C19" s="132">
        <f ca="1">SUMIF(INDIRECT("'"&amp;C4&amp;"'"&amp;"!A:A"),结果表!B19,INDIRECT("'"&amp;C4&amp;"'"&amp;"!B:B"))</f>
        <v>2.8384999999999998</v>
      </c>
      <c r="D19" s="133">
        <f ca="1">SUMIF(INDIRECT("'"&amp;D4&amp;"'"&amp;"!A:A"),结果表!B19,INDIRECT("'"&amp;D4&amp;"'"&amp;"!B:B"))</f>
        <v>0</v>
      </c>
      <c r="E19" s="1757" t="s">
        <v>1292</v>
      </c>
      <c r="F19" s="1758" t="s">
        <v>1291</v>
      </c>
      <c r="G19" s="134">
        <f ca="1">ROUND(C19*$C$18+D19*$D$18,0)</f>
        <v>1</v>
      </c>
      <c r="H19" s="1759"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60"/>
      <c r="B20" s="1022" t="s">
        <v>1295</v>
      </c>
      <c r="C20" s="3495">
        <f ca="1">SUMIF(INDIRECT("'"&amp;C4&amp;"'"&amp;"!A:A"),结果表!B20,INDIRECT("'"&amp;C4&amp;"'"&amp;"!B:B"))</f>
        <v>28385</v>
      </c>
      <c r="D20" s="3496">
        <f ca="1">SUMIF(INDIRECT("'"&amp;D4&amp;"'"&amp;"!A:A"),结果表!B20,INDIRECT("'"&amp;D4&amp;"'"&amp;"!B:B"))</f>
        <v>29939</v>
      </c>
      <c r="E20" s="1760"/>
      <c r="F20" s="1022" t="s">
        <v>1295</v>
      </c>
      <c r="G20" s="3497">
        <f ca="1">ROUND(C20*$C$18+D20*$D$18,0)</f>
        <v>29162</v>
      </c>
      <c r="H20" s="804" t="s">
        <v>1296</v>
      </c>
      <c r="I20" s="127"/>
    </row>
    <row r="21" spans="1:36" ht="15" customHeight="1" thickBot="1">
      <c r="A21" s="824"/>
      <c r="B21" s="1761" t="s">
        <v>1297</v>
      </c>
      <c r="C21" s="715">
        <f ca="1">ROUND(C19*10000/L19,0)</f>
        <v>63078</v>
      </c>
      <c r="D21" s="716">
        <f ca="1">ROUND(D19*10000/L19,0)</f>
        <v>0</v>
      </c>
      <c r="E21" s="824"/>
      <c r="F21" s="1761" t="s">
        <v>1297</v>
      </c>
      <c r="G21" s="137">
        <f ca="1">ROUND(G19*10000/L19,0)</f>
        <v>22222</v>
      </c>
      <c r="H21" s="1762" t="s">
        <v>1296</v>
      </c>
      <c r="I21" s="127"/>
    </row>
    <row r="22" spans="1:36" ht="15" thickBot="1">
      <c r="A22" s="1684" t="s">
        <v>1298</v>
      </c>
      <c r="B22" s="1763"/>
      <c r="C22" s="1764"/>
      <c r="D22" s="717" t="e">
        <f ca="1">IF(C19&lt;D19,D19/C19-1,C19/D19-1)</f>
        <v>#DIV/0!</v>
      </c>
      <c r="E22" s="127"/>
      <c r="F22" s="127"/>
      <c r="G22" s="127"/>
      <c r="H22" s="127"/>
      <c r="I22" s="127"/>
      <c r="J22" s="721">
        <f ca="1">(D20-C20)/C20</f>
        <v>5.4747225647348949E-2</v>
      </c>
    </row>
    <row r="23" spans="1:36" ht="13.5" thickBot="1">
      <c r="A23" s="1743"/>
      <c r="B23" s="1743"/>
      <c r="C23" s="1743"/>
      <c r="D23" s="1743"/>
      <c r="E23" s="127"/>
      <c r="F23" s="127"/>
      <c r="G23" s="127"/>
      <c r="H23" s="127"/>
      <c r="I23" s="127"/>
    </row>
    <row r="24" spans="1:36" ht="14.25">
      <c r="A24" s="3675" t="s">
        <v>1299</v>
      </c>
      <c r="B24" s="1758" t="s">
        <v>1291</v>
      </c>
      <c r="C24" s="134">
        <f>IF(B30=0,0,D30)</f>
        <v>0</v>
      </c>
      <c r="D24" s="1765"/>
      <c r="E24" s="127"/>
      <c r="F24" s="127"/>
      <c r="G24" s="127"/>
      <c r="H24" s="127"/>
      <c r="I24" s="127"/>
    </row>
    <row r="25" spans="1:36" ht="14.25">
      <c r="A25" s="3676"/>
      <c r="B25" s="1022" t="s">
        <v>1295</v>
      </c>
      <c r="C25" s="138">
        <f>IF(B30=0,0,C30)</f>
        <v>0</v>
      </c>
      <c r="D25" s="1766"/>
      <c r="E25" s="127"/>
      <c r="F25" s="127"/>
      <c r="G25" s="127"/>
      <c r="H25" s="127"/>
      <c r="I25" s="127"/>
    </row>
    <row r="26" spans="1:36" ht="13.5" customHeight="1">
      <c r="A26" s="1767" t="s">
        <v>1300</v>
      </c>
      <c r="B26" s="139" t="s">
        <v>1301</v>
      </c>
      <c r="C26" s="139" t="s">
        <v>1302</v>
      </c>
      <c r="D26" s="140" t="s">
        <v>1303</v>
      </c>
      <c r="E26" s="127"/>
      <c r="F26" s="127"/>
      <c r="G26" s="127"/>
      <c r="H26" s="127"/>
      <c r="I26" s="127"/>
    </row>
    <row r="27" spans="1:36" ht="14.25">
      <c r="A27" s="1767"/>
      <c r="B27" s="139">
        <v>0</v>
      </c>
      <c r="C27" s="139">
        <v>0</v>
      </c>
      <c r="D27" s="140">
        <f>ROUND(C27*B27/10000,0)</f>
        <v>0</v>
      </c>
      <c r="E27" s="127"/>
      <c r="F27" s="127"/>
      <c r="G27" s="127"/>
      <c r="H27" s="127"/>
      <c r="I27" s="127"/>
    </row>
    <row r="28" spans="1:36" ht="14.25">
      <c r="A28" s="1767"/>
      <c r="B28" s="139"/>
      <c r="C28" s="139"/>
      <c r="D28" s="140"/>
      <c r="E28" s="127"/>
      <c r="F28" s="127"/>
      <c r="G28" s="127"/>
      <c r="H28" s="127"/>
      <c r="I28" s="127"/>
    </row>
    <row r="29" spans="1:36" ht="14.25">
      <c r="A29" s="1767"/>
      <c r="B29" s="139"/>
      <c r="C29" s="139"/>
      <c r="D29" s="140"/>
      <c r="E29" s="127"/>
      <c r="F29" s="127"/>
      <c r="G29" s="127"/>
      <c r="H29" s="127"/>
      <c r="I29" s="127"/>
    </row>
    <row r="30" spans="1:36" ht="15" thickBot="1">
      <c r="A30" s="139" t="s">
        <v>1304</v>
      </c>
      <c r="B30" s="139"/>
      <c r="C30" s="139"/>
      <c r="D30" s="139"/>
      <c r="E30" s="2296" t="s">
        <v>2132</v>
      </c>
      <c r="F30" s="127"/>
      <c r="G30" s="127"/>
      <c r="H30" s="127"/>
      <c r="I30" s="127"/>
    </row>
    <row r="31" spans="1:36" s="2302" customFormat="1" ht="26.45" customHeight="1" thickTop="1" thickBot="1">
      <c r="A31" s="2297"/>
      <c r="B31" s="2298"/>
      <c r="C31" s="2298"/>
      <c r="D31" s="2298"/>
      <c r="E31" s="2298"/>
      <c r="F31" s="2298"/>
      <c r="G31" s="2298"/>
      <c r="H31" s="2298"/>
      <c r="I31" s="2299" t="s">
        <v>2133</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9" t="s">
        <v>1305</v>
      </c>
      <c r="B32" s="1770"/>
      <c r="C32" s="141">
        <f ca="1">IF(D32="总价",G19-C24,G20-C25)</f>
        <v>29162</v>
      </c>
      <c r="D32" s="1771" t="s">
        <v>3415</v>
      </c>
      <c r="E32" s="127"/>
      <c r="F32" s="127"/>
      <c r="G32" s="127"/>
      <c r="H32" s="127"/>
      <c r="I32" s="127"/>
    </row>
    <row r="33" spans="1:15" ht="15">
      <c r="A33" s="782" t="s">
        <v>1306</v>
      </c>
      <c r="B33" s="1772"/>
      <c r="C33" s="1773"/>
      <c r="D33" s="1774"/>
      <c r="E33" s="1775" t="s">
        <v>1307</v>
      </c>
      <c r="F33" s="1776" t="str">
        <f>IF(D32="楼面单价","取值（单价）","取值（总价）")</f>
        <v>取值（单价）</v>
      </c>
      <c r="G33" s="127"/>
      <c r="H33" s="127"/>
      <c r="I33" s="127"/>
    </row>
    <row r="34" spans="1:15" ht="15">
      <c r="A34" s="1777"/>
      <c r="B34" s="1778"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7"/>
      <c r="H34" s="127"/>
      <c r="I34" s="127"/>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1"/>
      <c r="G35" s="127"/>
      <c r="H35" s="127"/>
      <c r="I35" s="127"/>
    </row>
    <row r="36" spans="1:15" ht="15.75" thickBot="1">
      <c r="A36" s="3652" t="s">
        <v>1312</v>
      </c>
      <c r="B36" s="1783" t="s">
        <v>1313</v>
      </c>
      <c r="C36" s="142"/>
      <c r="D36" s="1784"/>
      <c r="E36" s="1785"/>
      <c r="F36" s="1786"/>
      <c r="G36" s="127"/>
      <c r="H36" s="127"/>
      <c r="I36" s="127"/>
    </row>
    <row r="37" spans="1:15" ht="15.75" thickBot="1">
      <c r="A37" s="3653"/>
      <c r="B37" s="1670" t="s">
        <v>1314</v>
      </c>
      <c r="C37" s="144"/>
      <c r="D37" s="1135"/>
      <c r="E37" s="1135"/>
      <c r="F37" s="1786"/>
      <c r="G37" s="127"/>
      <c r="H37" s="127"/>
      <c r="I37" s="127"/>
    </row>
    <row r="38" spans="1:15" ht="15.75" thickBot="1">
      <c r="A38" s="3654"/>
      <c r="B38" s="1787" t="s">
        <v>1315</v>
      </c>
      <c r="C38" s="670"/>
      <c r="D38" s="1788" t="s">
        <v>1316</v>
      </c>
      <c r="E38" s="1135"/>
      <c r="F38" s="1786"/>
      <c r="G38" s="127"/>
      <c r="H38" s="127"/>
      <c r="I38" s="127"/>
    </row>
    <row r="39" spans="1:15" ht="15">
      <c r="A39" s="1760" t="s">
        <v>1317</v>
      </c>
      <c r="B39" s="1789" t="s">
        <v>1318</v>
      </c>
      <c r="C39" s="1790" t="s">
        <v>1319</v>
      </c>
      <c r="D39" s="1790" t="s">
        <v>1320</v>
      </c>
      <c r="E39" s="1791" t="s">
        <v>1321</v>
      </c>
      <c r="F39" s="1786"/>
      <c r="G39" s="127"/>
      <c r="H39" s="127"/>
      <c r="I39" s="127"/>
    </row>
    <row r="40" spans="1:15" ht="14.25">
      <c r="A40" s="1792" t="s">
        <v>1322</v>
      </c>
      <c r="B40" s="146"/>
      <c r="C40" s="147"/>
      <c r="D40" s="147"/>
      <c r="E40" s="148"/>
      <c r="F40" s="1786"/>
      <c r="G40" s="127"/>
      <c r="H40" s="127"/>
      <c r="I40" s="127"/>
    </row>
    <row r="41" spans="1:15" ht="14.25">
      <c r="A41" s="1792" t="s">
        <v>1323</v>
      </c>
      <c r="B41" s="146"/>
      <c r="C41" s="147"/>
      <c r="D41" s="147"/>
      <c r="E41" s="148"/>
      <c r="F41" s="1786"/>
      <c r="G41" s="127"/>
      <c r="H41" s="127"/>
      <c r="I41" s="127"/>
    </row>
    <row r="42" spans="1:15" ht="15" thickBot="1">
      <c r="A42" s="1793"/>
      <c r="B42" s="149"/>
      <c r="C42" s="150"/>
      <c r="D42" s="150"/>
      <c r="E42" s="151"/>
      <c r="F42" s="1786"/>
      <c r="G42" s="127"/>
      <c r="H42" s="127"/>
      <c r="I42" s="127"/>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72" t="s">
        <v>1326</v>
      </c>
      <c r="B45" s="3673"/>
      <c r="C45" s="3674"/>
      <c r="D45" s="152">
        <f ca="1">ROUND(H101*F45,0)</f>
        <v>3</v>
      </c>
      <c r="E45" s="153" t="s">
        <v>1327</v>
      </c>
      <c r="F45" s="154">
        <v>1</v>
      </c>
      <c r="G45" s="155" t="s">
        <v>1328</v>
      </c>
      <c r="H45" s="127"/>
      <c r="I45" s="127"/>
      <c r="J45" s="3592" t="s">
        <v>1329</v>
      </c>
      <c r="K45" s="3592"/>
      <c r="L45" s="3592"/>
      <c r="M45" s="3592"/>
      <c r="N45" s="3592"/>
      <c r="O45" s="3592"/>
    </row>
    <row r="46" spans="1:15" ht="14.25" customHeight="1">
      <c r="A46" s="3669" t="s">
        <v>1330</v>
      </c>
      <c r="B46" s="3670"/>
      <c r="C46" s="3670"/>
      <c r="D46" s="3670"/>
      <c r="E46" s="3670"/>
      <c r="F46" s="3670"/>
      <c r="G46" s="3671"/>
      <c r="H46" s="1802"/>
      <c r="I46" s="156"/>
      <c r="J46" s="2515">
        <v>1</v>
      </c>
      <c r="K46" s="3593" t="s">
        <v>1331</v>
      </c>
      <c r="L46" s="3593"/>
      <c r="M46" s="3594"/>
      <c r="N46" s="3594"/>
      <c r="O46" s="3594"/>
    </row>
    <row r="47" spans="1:15" ht="12" customHeight="1">
      <c r="A47" s="157" t="s">
        <v>1332</v>
      </c>
      <c r="B47" s="158"/>
      <c r="C47" s="159"/>
      <c r="D47" s="1083" t="s">
        <v>1333</v>
      </c>
      <c r="E47" s="299" t="s">
        <v>1334</v>
      </c>
      <c r="F47" s="160" t="s">
        <v>1335</v>
      </c>
      <c r="G47" s="2538" t="s">
        <v>1336</v>
      </c>
      <c r="H47" s="2539"/>
      <c r="I47" s="156"/>
      <c r="J47" s="2515">
        <v>2</v>
      </c>
      <c r="K47" s="3593" t="s">
        <v>1337</v>
      </c>
      <c r="L47" s="3593"/>
      <c r="M47" s="3595">
        <f>'数据-取费表'!B2</f>
        <v>44970</v>
      </c>
      <c r="N47" s="3595"/>
      <c r="O47" s="3595"/>
    </row>
    <row r="48" spans="1:15" ht="25.5">
      <c r="A48" s="3655" t="s">
        <v>1338</v>
      </c>
      <c r="B48" s="3656"/>
      <c r="C48" s="3656"/>
      <c r="D48" s="2317" t="b">
        <f>IF(H48="情况1",0,IF(H48="情况2",D52,IF(H48="情况3",D53,IF(H48="情况4",D54))))</f>
        <v>0</v>
      </c>
      <c r="E48" s="2327" t="str">
        <f>IF(H48="情况4","(销售额-原购置价)×税（费）率","销售额×税（费）率")</f>
        <v>销售额×税（费）率</v>
      </c>
      <c r="F48" s="2540">
        <f>IF(H48="情况1","免征",'数据-取费表'!B41)</f>
        <v>5.5000000000000007E-2</v>
      </c>
      <c r="G48" s="2541" t="s">
        <v>1339</v>
      </c>
      <c r="H48" s="2542"/>
      <c r="I48" s="1802"/>
      <c r="J48" s="2515">
        <v>3</v>
      </c>
      <c r="K48" s="3593" t="s">
        <v>1340</v>
      </c>
      <c r="L48" s="3593"/>
      <c r="M48" s="3596">
        <f ca="1">H101</f>
        <v>3</v>
      </c>
      <c r="N48" s="3596"/>
      <c r="O48" s="3596"/>
    </row>
    <row r="49" spans="1:35" ht="25.5" customHeight="1">
      <c r="A49" s="2326" t="s">
        <v>1341</v>
      </c>
      <c r="B49" s="3641" t="s">
        <v>1342</v>
      </c>
      <c r="C49" s="3641"/>
      <c r="D49" s="1586">
        <v>0</v>
      </c>
      <c r="E49" s="321" t="s">
        <v>1343</v>
      </c>
      <c r="F49" s="2417" t="s">
        <v>28</v>
      </c>
      <c r="G49" s="3624"/>
      <c r="H49" s="2303" t="s">
        <v>2134</v>
      </c>
      <c r="I49" s="2304"/>
      <c r="J49" s="2515">
        <v>4</v>
      </c>
      <c r="K49" s="3593" t="str">
        <f>IF(项目基本情况!E8="房地产抵押价值","房地产抵押价值","抵押担保权已注销时的房地产抵押价值")</f>
        <v>抵押担保权已注销时的房地产抵押价值</v>
      </c>
      <c r="L49" s="3593"/>
      <c r="M49" s="3596" t="str">
        <f>IF(项目基本情况!E8="房地产抵押价值",H107,H109)</f>
        <v>——</v>
      </c>
      <c r="N49" s="3596"/>
      <c r="O49" s="3596"/>
    </row>
    <row r="50" spans="1:35" ht="25.5" customHeight="1">
      <c r="A50" s="2543"/>
      <c r="B50" s="3641" t="s">
        <v>1344</v>
      </c>
      <c r="C50" s="3641"/>
      <c r="D50" s="2544"/>
      <c r="E50" s="329"/>
      <c r="F50" s="2417"/>
      <c r="G50" s="3625"/>
      <c r="H50" s="2305" t="s">
        <v>2135</v>
      </c>
      <c r="I50" s="2304"/>
      <c r="J50" s="3592" t="s">
        <v>1345</v>
      </c>
      <c r="K50" s="3592"/>
      <c r="L50" s="3592"/>
      <c r="M50" s="3592"/>
      <c r="N50" s="3592"/>
      <c r="O50" s="3592"/>
    </row>
    <row r="51" spans="1:35" ht="20.45" customHeight="1">
      <c r="A51" s="2545"/>
      <c r="B51" s="3641" t="s">
        <v>1346</v>
      </c>
      <c r="C51" s="3641"/>
      <c r="D51" s="1083"/>
      <c r="E51" s="324"/>
      <c r="F51" s="2417"/>
      <c r="G51" s="3626"/>
      <c r="H51" s="2305" t="s">
        <v>2136</v>
      </c>
      <c r="I51" s="2304"/>
      <c r="J51" s="2516" t="s">
        <v>1347</v>
      </c>
      <c r="K51" s="3593" t="s">
        <v>1348</v>
      </c>
      <c r="L51" s="3593"/>
      <c r="M51" s="2516" t="s">
        <v>1349</v>
      </c>
      <c r="N51" s="2516" t="s">
        <v>1350</v>
      </c>
      <c r="O51" s="2516" t="s">
        <v>1351</v>
      </c>
    </row>
    <row r="52" spans="1:35" ht="24" customHeight="1">
      <c r="A52" s="2328" t="s">
        <v>1352</v>
      </c>
      <c r="B52" s="3641" t="s">
        <v>1353</v>
      </c>
      <c r="C52" s="3641"/>
      <c r="D52" s="1083">
        <f ca="1">ROUND(D45*'数据-取费表'!B41/(1+'数据-取费表'!C42),0)</f>
        <v>0</v>
      </c>
      <c r="E52" s="2327" t="s">
        <v>1354</v>
      </c>
      <c r="F52" s="2546">
        <f>'数据-取费表'!B41</f>
        <v>5.5000000000000007E-2</v>
      </c>
      <c r="G52" s="2547"/>
      <c r="H52" s="2536"/>
      <c r="I52" s="1803"/>
      <c r="J52" s="2515">
        <v>1</v>
      </c>
      <c r="K52" s="3618" t="s">
        <v>1355</v>
      </c>
      <c r="L52" s="3618"/>
      <c r="M52" s="2517" t="b">
        <f>D48</f>
        <v>0</v>
      </c>
      <c r="N52" s="2515" t="str">
        <f>E48</f>
        <v>销售额×税（费）率</v>
      </c>
      <c r="O52" s="2518">
        <f>F48</f>
        <v>5.5000000000000007E-2</v>
      </c>
    </row>
    <row r="53" spans="1:35" ht="12" customHeight="1">
      <c r="A53" s="2328" t="s">
        <v>1356</v>
      </c>
      <c r="B53" s="3642" t="s">
        <v>2288</v>
      </c>
      <c r="C53" s="3643"/>
      <c r="D53" s="1083">
        <f ca="1">ROUND(D45*'数据-取费表'!B41/(1+'数据-取费表'!C42),0)</f>
        <v>0</v>
      </c>
      <c r="E53" s="2327" t="s">
        <v>1354</v>
      </c>
      <c r="F53" s="2546">
        <f>'数据-取费表'!B41</f>
        <v>5.5000000000000007E-2</v>
      </c>
      <c r="G53" s="2547"/>
      <c r="H53" s="2536"/>
      <c r="I53" s="1803"/>
      <c r="J53" s="2515">
        <v>2</v>
      </c>
      <c r="K53" s="3618" t="s">
        <v>1357</v>
      </c>
      <c r="L53" s="3618"/>
      <c r="M53" s="2517">
        <f t="shared" ref="M53:O54" ca="1" si="0">D55</f>
        <v>0</v>
      </c>
      <c r="N53" s="2515" t="str">
        <f t="shared" si="0"/>
        <v>销售额×税（费）率</v>
      </c>
      <c r="O53" s="2518" t="str">
        <f t="shared" si="0"/>
        <v>免征</v>
      </c>
    </row>
    <row r="54" spans="1:35" ht="12" customHeight="1">
      <c r="A54" s="2328" t="s">
        <v>1358</v>
      </c>
      <c r="B54" s="3642" t="s">
        <v>2289</v>
      </c>
      <c r="C54" s="3643"/>
      <c r="D54" s="1083">
        <f ca="1">C68</f>
        <v>0</v>
      </c>
      <c r="E54" s="324" t="s">
        <v>1359</v>
      </c>
      <c r="F54" s="2546">
        <f>'数据-取费表'!B41</f>
        <v>5.5000000000000007E-2</v>
      </c>
      <c r="G54" s="2547"/>
      <c r="H54" s="2548"/>
      <c r="I54" s="1803"/>
      <c r="J54" s="2515">
        <v>3</v>
      </c>
      <c r="K54" s="3618" t="s">
        <v>1360</v>
      </c>
      <c r="L54" s="3618"/>
      <c r="M54" s="2517" t="e">
        <f t="shared" ca="1" si="0"/>
        <v>#DIV/0!</v>
      </c>
      <c r="N54" s="2515" t="str">
        <f t="shared" si="0"/>
        <v>增值额×税（费）率</v>
      </c>
      <c r="O54" s="2519" t="str">
        <f t="shared" si="0"/>
        <v>免征</v>
      </c>
    </row>
    <row r="55" spans="1:35" ht="24" customHeight="1">
      <c r="A55" s="3678" t="s">
        <v>1361</v>
      </c>
      <c r="B55" s="3656"/>
      <c r="C55" s="3656"/>
      <c r="D55" s="2317">
        <f ca="1">IF(H55="个人住宅",0,ROUND(D45*I55,0))</f>
        <v>0</v>
      </c>
      <c r="E55" s="2327" t="s">
        <v>1362</v>
      </c>
      <c r="F55" s="2546" t="str">
        <f>IF(H55="正常",I55,"免征")</f>
        <v>免征</v>
      </c>
      <c r="G55" s="2547"/>
      <c r="H55" s="2542"/>
      <c r="I55" s="162">
        <f>'数据-取费表'!B49</f>
        <v>5.0000000000000001E-4</v>
      </c>
      <c r="J55" s="2515">
        <f>IF(H59="非个人房产","",4)</f>
        <v>4</v>
      </c>
      <c r="K55" s="3618" t="str">
        <f>IF(H59="非个人房产","——","个人所得税")</f>
        <v>个人所得税</v>
      </c>
      <c r="L55" s="3618"/>
      <c r="M55" s="2520">
        <f ca="1">D59</f>
        <v>0</v>
      </c>
      <c r="N55" s="2033" t="str">
        <f>E59</f>
        <v>差额计税</v>
      </c>
      <c r="O55" s="2521">
        <f>F59</f>
        <v>0.01</v>
      </c>
    </row>
    <row r="56" spans="1:35" ht="24.75">
      <c r="A56" s="3678" t="s">
        <v>1363</v>
      </c>
      <c r="B56" s="3656"/>
      <c r="C56" s="3656"/>
      <c r="D56" s="2317" t="e">
        <f ca="1">IF(H56="个人住宅",D57,D58)</f>
        <v>#DIV/0!</v>
      </c>
      <c r="E56" s="2327" t="s">
        <v>1364</v>
      </c>
      <c r="F56" s="2546" t="str">
        <f>IF(H56="正常",F58,"免征")</f>
        <v>免征</v>
      </c>
      <c r="G56" s="2549" t="s">
        <v>1365</v>
      </c>
      <c r="H56" s="2550"/>
      <c r="I56" s="1804"/>
      <c r="J56" s="2515" t="str">
        <f>IF(项目基本情况!K6="上海银行",IF(J55="",4,J55+1),"")</f>
        <v/>
      </c>
      <c r="K56" s="3599" t="str">
        <f>IF(项目基本情况!K6="上海银行","其他处置费用","")</f>
        <v/>
      </c>
      <c r="L56" s="3600"/>
      <c r="M56" s="2517" t="str">
        <f>IF(项目基本情况!K6="上海银行",M69,"")</f>
        <v/>
      </c>
      <c r="N56" s="3599" t="str">
        <f>IF(项目基本情况!K6="上海银行","包含处置中涉及的律师、诉讼、拍卖、评估等费用","")</f>
        <v/>
      </c>
      <c r="O56" s="3602"/>
    </row>
    <row r="57" spans="1:35" ht="12.75">
      <c r="A57" s="2328" t="s">
        <v>1341</v>
      </c>
      <c r="B57" s="3642" t="s">
        <v>1366</v>
      </c>
      <c r="C57" s="3643"/>
      <c r="D57" s="1586">
        <v>0</v>
      </c>
      <c r="E57" s="321" t="s">
        <v>1343</v>
      </c>
      <c r="F57" s="299"/>
      <c r="G57" s="2547"/>
      <c r="H57" s="2551"/>
      <c r="I57" s="1804"/>
      <c r="J57" s="3618">
        <f>IF(AND(J55="",J56=""),4,IF(项目基本情况!K6="上海银行",结果表!J56+1,结果表!J55+1))</f>
        <v>5</v>
      </c>
      <c r="K57" s="3618" t="s">
        <v>1367</v>
      </c>
      <c r="L57" s="2522" t="s">
        <v>1368</v>
      </c>
      <c r="M57" s="2523"/>
      <c r="N57" s="2524">
        <f ca="1">SUMIF(M52:M56,"&lt;9e307")</f>
        <v>0</v>
      </c>
      <c r="O57" s="2525"/>
      <c r="P57" s="2682" t="e">
        <f ca="1">N57/M49</f>
        <v>#VALUE!</v>
      </c>
    </row>
    <row r="58" spans="1:35" ht="24.75">
      <c r="A58" s="2328" t="s">
        <v>1352</v>
      </c>
      <c r="B58" s="3642" t="s">
        <v>1369</v>
      </c>
      <c r="C58" s="3641"/>
      <c r="D58" s="2317" t="e">
        <f ca="1">IF(H58="转让取得",C81,C97)</f>
        <v>#DIV/0!</v>
      </c>
      <c r="E58" s="2327" t="s">
        <v>1364</v>
      </c>
      <c r="F58" s="299" t="s">
        <v>28</v>
      </c>
      <c r="G58" s="2547"/>
      <c r="H58" s="2550"/>
      <c r="I58" s="1804"/>
      <c r="J58" s="3618"/>
      <c r="K58" s="3618"/>
      <c r="L58" s="2522" t="s">
        <v>1370</v>
      </c>
      <c r="M58" s="2526"/>
      <c r="N58" s="2527" t="str">
        <f ca="1">NUMBERSTRING(INT(N57*10000),2)&amp;"元整"</f>
        <v>零元整</v>
      </c>
      <c r="O58" s="2528"/>
    </row>
    <row r="59" spans="1:35" ht="24.75" thickBot="1">
      <c r="A59" s="3622" t="s">
        <v>1371</v>
      </c>
      <c r="B59" s="3623"/>
      <c r="C59" s="3623"/>
      <c r="D59" s="2552">
        <f ca="1">IF(H59="非个人房产","——",IF(H59="个人住宅（满五唯一有凭证）",0,IF(H59="个人其他（无凭证）",ROUND(D45*F59,0),ROUND(C67*F59,0))))</f>
        <v>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7"/>
      <c r="I59" s="2306" t="s">
        <v>2137</v>
      </c>
      <c r="J59" s="3620">
        <f>J57+1</f>
        <v>6</v>
      </c>
      <c r="K59" s="3618" t="s">
        <v>1372</v>
      </c>
      <c r="L59" s="2515" t="s">
        <v>1368</v>
      </c>
      <c r="M59" s="2529"/>
      <c r="N59" s="2530" t="e">
        <f ca="1">M49-N57</f>
        <v>#VALUE!</v>
      </c>
      <c r="O59" s="2531"/>
    </row>
    <row r="60" spans="1:35" ht="12" customHeight="1">
      <c r="A60" s="1805"/>
      <c r="B60" s="1743"/>
      <c r="C60" s="1743"/>
      <c r="D60" s="1743"/>
      <c r="E60" s="1574"/>
      <c r="F60" s="1804"/>
      <c r="G60" s="1804"/>
      <c r="H60" s="1806"/>
      <c r="I60" s="127"/>
      <c r="J60" s="3621"/>
      <c r="K60" s="3618"/>
      <c r="L60" s="2522" t="s">
        <v>1370</v>
      </c>
      <c r="M60" s="2526"/>
      <c r="N60" s="2527" t="e">
        <f ca="1">NUMBERSTRING(INT(N59*10000),2)&amp;"元整"</f>
        <v>#VALUE!</v>
      </c>
      <c r="O60" s="2528"/>
    </row>
    <row r="61" spans="1:35" ht="13.5" thickBot="1">
      <c r="A61" s="3677" t="s">
        <v>1373</v>
      </c>
      <c r="B61" s="3677"/>
      <c r="C61" s="3677"/>
      <c r="D61" s="3677"/>
      <c r="E61" s="3677"/>
      <c r="F61" s="1804"/>
      <c r="G61" s="1804"/>
      <c r="H61" s="1806"/>
      <c r="I61" s="127"/>
      <c r="J61" s="2515">
        <f>J59+1</f>
        <v>7</v>
      </c>
      <c r="K61" s="3618" t="s">
        <v>1374</v>
      </c>
      <c r="L61" s="3618"/>
      <c r="M61" s="2532"/>
      <c r="N61" s="2533" t="e">
        <f ca="1">ROUND(N59*10000/'数据-汇总表'!E3,0)</f>
        <v>#VALUE!</v>
      </c>
      <c r="O61" s="2534"/>
    </row>
    <row r="62" spans="1:35" ht="12.75">
      <c r="A62" s="3637" t="s">
        <v>1375</v>
      </c>
      <c r="B62" s="3638"/>
      <c r="C62" s="2014"/>
      <c r="D62" s="2014" t="s">
        <v>1376</v>
      </c>
      <c r="E62" s="163" t="s">
        <v>1377</v>
      </c>
      <c r="F62" s="1804"/>
      <c r="G62" s="1804"/>
      <c r="H62" s="1806"/>
      <c r="I62" s="127"/>
    </row>
    <row r="63" spans="1:35" ht="12.75">
      <c r="A63" s="170" t="s">
        <v>330</v>
      </c>
      <c r="B63" s="164" t="s">
        <v>1378</v>
      </c>
      <c r="C63" s="2556">
        <f ca="1">ROUND((C64+C65)/(1+'数据-取费表'!C42),0)</f>
        <v>3</v>
      </c>
      <c r="D63" s="164"/>
      <c r="E63" s="165"/>
      <c r="F63" s="1804"/>
      <c r="G63" s="1804"/>
      <c r="H63" s="1806"/>
      <c r="I63" s="127"/>
      <c r="J63" s="3601" t="s">
        <v>1379</v>
      </c>
      <c r="K63" s="1328" t="s">
        <v>1380</v>
      </c>
      <c r="L63" s="1328" t="e">
        <f>IF(M49&gt;10000,M49*0.5%,IF(AND(M49&gt;1000,M49&lt;=10000),M49*1%,IF(AND(M49&gt;100,M49&lt;=1000),M49*3%,IF(AND(M49&gt;10,M49&lt;=100),M49*5%,M49*8%))))</f>
        <v>#VALUE!</v>
      </c>
      <c r="M63" s="299" t="e">
        <f>ROUND(L63,1)</f>
        <v>#VALUE!</v>
      </c>
      <c r="N63" s="2535"/>
      <c r="Z63" s="1748"/>
      <c r="AI63" s="1749"/>
    </row>
    <row r="64" spans="1:35" ht="14.25" customHeight="1">
      <c r="A64" s="166" t="s">
        <v>325</v>
      </c>
      <c r="B64" s="167" t="s">
        <v>1381</v>
      </c>
      <c r="C64" s="2557">
        <f ca="1">D45</f>
        <v>3</v>
      </c>
      <c r="D64" s="167" t="s">
        <v>26</v>
      </c>
      <c r="E64" s="169"/>
      <c r="F64" s="1804"/>
      <c r="G64" s="1804"/>
      <c r="H64" s="1806"/>
      <c r="I64" s="127"/>
      <c r="J64" s="3601"/>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299" t="e">
        <f t="shared" ref="M64:M65" si="1">ROUND(L64,1)</f>
        <v>#VALUE!</v>
      </c>
      <c r="N64" s="2536" t="s">
        <v>1383</v>
      </c>
      <c r="Z64" s="1748"/>
      <c r="AI64" s="1749"/>
    </row>
    <row r="65" spans="1:35" ht="14.25" customHeight="1">
      <c r="A65" s="166" t="s">
        <v>326</v>
      </c>
      <c r="B65" s="167" t="s">
        <v>1384</v>
      </c>
      <c r="C65" s="2558"/>
      <c r="D65" s="167"/>
      <c r="E65" s="169"/>
      <c r="F65" s="1804"/>
      <c r="G65" s="1804"/>
      <c r="H65" s="1806"/>
      <c r="I65" s="127"/>
      <c r="J65" s="3601"/>
      <c r="K65" s="1328" t="s">
        <v>1385</v>
      </c>
      <c r="L65" s="1328" t="e">
        <f>IF(M49&gt;1000,M49*0.1%,IF(AND(M49&gt;500,M49&lt;=1000),M49*0.5%,IF(AND(M49&gt;50,M49&lt;=500),M49*1%,IF(AND(M49&gt;1,M49&lt;=50),M49*1.5%))))</f>
        <v>#VALUE!</v>
      </c>
      <c r="M65" s="299" t="e">
        <f t="shared" si="1"/>
        <v>#VALUE!</v>
      </c>
      <c r="N65" s="2536" t="s">
        <v>1383</v>
      </c>
      <c r="Z65" s="1748"/>
      <c r="AI65" s="1749"/>
    </row>
    <row r="66" spans="1:35" ht="14.25" customHeight="1">
      <c r="A66" s="170" t="s">
        <v>327</v>
      </c>
      <c r="B66" s="171" t="s">
        <v>1386</v>
      </c>
      <c r="C66" s="2559"/>
      <c r="D66" s="171" t="s">
        <v>26</v>
      </c>
      <c r="E66" s="1334" t="s">
        <v>671</v>
      </c>
      <c r="F66" s="1804"/>
      <c r="G66" s="1804"/>
      <c r="H66" s="1806"/>
      <c r="I66" s="127"/>
      <c r="J66" s="3601"/>
      <c r="K66" s="1328" t="s">
        <v>1387</v>
      </c>
      <c r="L66" s="1328" t="e">
        <f>M49*0.5%</f>
        <v>#VALUE!</v>
      </c>
      <c r="M66" s="299" t="e">
        <f>IF(L66&gt;0.5,0.5,ROUND(L66,0))</f>
        <v>#VALUE!</v>
      </c>
      <c r="N66" s="2536" t="s">
        <v>1388</v>
      </c>
      <c r="Z66" s="1748"/>
      <c r="AI66" s="1749"/>
    </row>
    <row r="67" spans="1:35" ht="14.25" customHeight="1">
      <c r="A67" s="170" t="s">
        <v>328</v>
      </c>
      <c r="B67" s="171" t="s">
        <v>1389</v>
      </c>
      <c r="C67" s="2560">
        <f ca="1">C63-C66</f>
        <v>3</v>
      </c>
      <c r="D67" s="167" t="s">
        <v>26</v>
      </c>
      <c r="E67" s="169"/>
      <c r="F67" s="1804"/>
      <c r="G67" s="1804"/>
      <c r="H67" s="1806"/>
      <c r="I67" s="127"/>
      <c r="J67" s="3601"/>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5"/>
      <c r="Z67" s="1748"/>
      <c r="AI67" s="1749"/>
    </row>
    <row r="68" spans="1:35" ht="14.25" customHeight="1" thickBot="1">
      <c r="A68" s="173" t="s">
        <v>329</v>
      </c>
      <c r="B68" s="174" t="s">
        <v>1391</v>
      </c>
      <c r="C68" s="2561">
        <f ca="1">IF(C67&lt;=0,0,ROUND(C67*D68,0))</f>
        <v>0</v>
      </c>
      <c r="D68" s="2562">
        <f>'数据-取费表'!B41</f>
        <v>5.5000000000000007E-2</v>
      </c>
      <c r="E68" s="175"/>
      <c r="F68" s="1804"/>
      <c r="G68" s="1804"/>
      <c r="H68" s="1806"/>
      <c r="I68" s="127"/>
      <c r="J68" s="3601"/>
      <c r="K68" s="1328" t="s">
        <v>1392</v>
      </c>
      <c r="L68" s="1328" t="e">
        <f>IF(M49&gt;10000,M49*0.5%,IF(AND(M49&gt;5000,M49&lt;=10000),M49*1%,IF(AND(M49&gt;1000,M49&lt;=5000),M49*2%,IF(AND(M49&gt;200,M49&lt;=1000),M49*3%,M49*5%))))</f>
        <v>#VALUE!</v>
      </c>
      <c r="M68" s="299" t="e">
        <f>ROUND(L68,1)</f>
        <v>#VALUE!</v>
      </c>
      <c r="N68" s="2535"/>
      <c r="Z68" s="1748"/>
      <c r="AI68" s="1749"/>
    </row>
    <row r="69" spans="1:35" s="1768" customFormat="1" ht="16.5" customHeight="1">
      <c r="A69" s="1807"/>
      <c r="B69" s="1808"/>
      <c r="C69" s="1809"/>
      <c r="D69" s="1810"/>
      <c r="E69" s="1811"/>
      <c r="F69" s="1574"/>
      <c r="G69" s="1574"/>
      <c r="H69" s="1573"/>
      <c r="I69" s="1743"/>
      <c r="J69" s="3601"/>
      <c r="K69" s="1328" t="s">
        <v>1393</v>
      </c>
      <c r="L69" s="1328"/>
      <c r="M69" s="299" t="e">
        <f>ROUND(SUM(M63:M68),0)</f>
        <v>#VALUE!</v>
      </c>
      <c r="N69" s="2537" t="e">
        <f>M69/M49</f>
        <v>#VALUE!</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45" t="s">
        <v>1394</v>
      </c>
      <c r="B70" s="3646"/>
      <c r="C70" s="3646"/>
      <c r="D70" s="3646"/>
      <c r="E70" s="3646"/>
      <c r="F70" s="3646"/>
      <c r="G70" s="3646"/>
      <c r="H70" s="3646"/>
      <c r="I70" s="1812"/>
      <c r="J70" s="2683"/>
      <c r="K70" s="2683"/>
      <c r="L70" s="2683"/>
      <c r="M70" s="2683"/>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7" t="s">
        <v>1375</v>
      </c>
      <c r="B71" s="3638"/>
      <c r="C71" s="2014"/>
      <c r="D71" s="2014" t="s">
        <v>1376</v>
      </c>
      <c r="E71" s="176" t="s">
        <v>1377</v>
      </c>
      <c r="F71" s="177"/>
      <c r="G71" s="177"/>
      <c r="H71" s="178"/>
      <c r="I71" s="1816"/>
      <c r="J71" s="2683"/>
      <c r="K71" s="2683"/>
      <c r="L71" s="2683"/>
      <c r="M71" s="2683"/>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0">
        <f ca="1">ROUND(D45/(1+'数据-取费表'!C42),0)</f>
        <v>3</v>
      </c>
      <c r="D72" s="167" t="s">
        <v>26</v>
      </c>
      <c r="E72" s="2324"/>
      <c r="F72" s="2323"/>
      <c r="G72" s="2323"/>
      <c r="H72" s="179"/>
      <c r="I72" s="1816"/>
      <c r="J72" s="2683"/>
      <c r="K72" s="2683"/>
      <c r="L72" s="2683"/>
      <c r="M72" s="2683"/>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0">
        <f ca="1">C74+C78</f>
        <v>0</v>
      </c>
      <c r="D73" s="167" t="s">
        <v>26</v>
      </c>
      <c r="E73" s="2324"/>
      <c r="F73" s="2323"/>
      <c r="G73" s="2323"/>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4"/>
      <c r="F74" s="2323"/>
      <c r="G74" s="2323"/>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3"/>
      <c r="D75" s="167" t="s">
        <v>26</v>
      </c>
      <c r="E75" s="181" t="s">
        <v>1399</v>
      </c>
      <c r="F75" s="2564"/>
      <c r="G75" s="181" t="s">
        <v>1400</v>
      </c>
      <c r="H75" s="2565"/>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66">
        <v>0.05</v>
      </c>
      <c r="E76" s="3642" t="s">
        <v>1402</v>
      </c>
      <c r="F76" s="3641"/>
      <c r="G76" s="3641"/>
      <c r="H76" s="364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67">
        <f>'数据-取费表'!B48+'数据-取费表'!B49</f>
        <v>3.0499999999999999E-2</v>
      </c>
      <c r="E77" s="2317" t="s">
        <v>1404</v>
      </c>
      <c r="F77" s="183"/>
      <c r="G77" s="1818"/>
      <c r="H77" s="2325"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68">
        <f ca="1">ROUND(D45*D78/(1+'数据-取费表'!C42),0)</f>
        <v>0</v>
      </c>
      <c r="D78" s="2569">
        <f>'数据-取费表'!B43</f>
        <v>5.000000000000001E-3</v>
      </c>
      <c r="E78" s="3634" t="s">
        <v>1406</v>
      </c>
      <c r="F78" s="3635"/>
      <c r="G78" s="3635"/>
      <c r="H78" s="363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0">
        <f ca="1">C72-C73</f>
        <v>3</v>
      </c>
      <c r="D79" s="167" t="s">
        <v>26</v>
      </c>
      <c r="E79" s="2324"/>
      <c r="F79" s="2323"/>
      <c r="G79" s="2323"/>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0" t="e">
        <f ca="1">IF(C79&lt;=0,0,C79/C73)</f>
        <v>#DIV/0!</v>
      </c>
      <c r="D80" s="167" t="s">
        <v>26</v>
      </c>
      <c r="E80" s="2317" t="e">
        <f ca="1">IF(C80&gt;=200%,"增值额超过扣除项目金额200%",IF(C80&gt;=100%,"增值额超过扣除项目金额100%，未超过200%",IF(C80&gt;=50%,"增值额超过扣除项目金额50%，未超过100%",IF(C80&lt;50%,"增值额未超过扣除项目金额50%"))))</f>
        <v>#DIV/0!</v>
      </c>
      <c r="F80" s="2323"/>
      <c r="G80" s="2323"/>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1" t="e">
        <f ca="1">ROUND(IF(C79&lt;=0,0,IF(C80&gt;=200%,C79*60%-C73*35%,IF(C80&gt;=100%,C79*50%-C73*15%,IF(C80&gt;=50%,C79*40%-C73*5%,IF(C80&lt;50%,C79*30%,0))))),0)</f>
        <v>#DIV/0!</v>
      </c>
      <c r="D81" s="2572"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5" t="s">
        <v>1410</v>
      </c>
      <c r="B83" s="3646"/>
      <c r="C83" s="3646"/>
      <c r="D83" s="3646"/>
      <c r="E83" s="3646"/>
      <c r="F83" s="3646"/>
      <c r="G83" s="3646"/>
      <c r="H83" s="364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7" t="s">
        <v>1375</v>
      </c>
      <c r="B84" s="3638"/>
      <c r="C84" s="2014"/>
      <c r="D84" s="2014"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0">
        <f ca="1">ROUND(D45/(1+'数据-取费表'!C42),0)</f>
        <v>3</v>
      </c>
      <c r="D85" s="167" t="s">
        <v>26</v>
      </c>
      <c r="E85" s="2324"/>
      <c r="F85" s="2323"/>
      <c r="G85" s="2323"/>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0">
        <f ca="1">IF(H88="仅含出让金",C87+C90+C91+C92+C93+C94,C87+C91+C92+C93+C94)</f>
        <v>0</v>
      </c>
      <c r="D86" s="2573"/>
      <c r="E86" s="2324"/>
      <c r="F86" s="2323"/>
      <c r="G86" s="2323"/>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68">
        <f>C88+C89</f>
        <v>0</v>
      </c>
      <c r="D87" s="2569"/>
      <c r="E87" s="2319"/>
      <c r="F87" s="2320"/>
      <c r="G87" s="2320"/>
      <c r="H87" s="2321"/>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4"/>
      <c r="D88" s="2569"/>
      <c r="E88" s="190" t="s">
        <v>1413</v>
      </c>
      <c r="F88" s="2320"/>
      <c r="G88" s="191" t="s">
        <v>1414</v>
      </c>
      <c r="H88" s="1820"/>
      <c r="I88" s="1817"/>
      <c r="J88" s="2513" t="s">
        <v>2285</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68">
        <f>ROUND(C88*D89,0)</f>
        <v>0</v>
      </c>
      <c r="D89" s="2569">
        <f>'数据-取费表'!B48+'数据-取费表'!B49</f>
        <v>3.0499999999999999E-2</v>
      </c>
      <c r="E89" s="190" t="s">
        <v>1415</v>
      </c>
      <c r="F89" s="2320"/>
      <c r="G89" s="2320"/>
      <c r="H89" s="2321"/>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4"/>
      <c r="D90" s="2569"/>
      <c r="E90" s="190" t="str">
        <f>IF(H88="-","土地取得成本中已包含该笔费用"," ")</f>
        <v xml:space="preserve"> </v>
      </c>
      <c r="F90" s="2320"/>
      <c r="G90" s="3603" t="s">
        <v>2129</v>
      </c>
      <c r="H90" s="3604"/>
      <c r="I90" s="1817"/>
      <c r="J90" s="2513" t="s">
        <v>2286</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68">
        <f>IF(H91="——",成本法!C33,I91)</f>
        <v>0</v>
      </c>
      <c r="D91" s="2569"/>
      <c r="E91" s="3634" t="s">
        <v>1419</v>
      </c>
      <c r="F91" s="3635"/>
      <c r="G91" s="3635"/>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68">
        <f>ROUND((C87+C90+C91)*D92,0)</f>
        <v>0</v>
      </c>
      <c r="D92" s="2575"/>
      <c r="E92" s="3634" t="s">
        <v>1422</v>
      </c>
      <c r="F92" s="3635"/>
      <c r="G92" s="3635"/>
      <c r="H92" s="3636"/>
      <c r="I92" s="1817"/>
      <c r="J92" s="2514" t="s">
        <v>2287</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68">
        <f ca="1">ROUND(D45*D93/(1+'数据-取费表'!C42),0)</f>
        <v>0</v>
      </c>
      <c r="D93" s="2569">
        <f>'数据-取费表'!B43</f>
        <v>5.000000000000001E-3</v>
      </c>
      <c r="E93" s="3634" t="s">
        <v>1406</v>
      </c>
      <c r="F93" s="3635"/>
      <c r="G93" s="3635"/>
      <c r="H93" s="363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4">
        <f>ROUND((C87+C90+C91)*D94,0)</f>
        <v>0</v>
      </c>
      <c r="D94" s="2569">
        <v>0.2</v>
      </c>
      <c r="E94" s="3679" t="s">
        <v>1426</v>
      </c>
      <c r="F94" s="3680"/>
      <c r="G94" s="3680"/>
      <c r="H94" s="368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0">
        <f ca="1">ROUND(C85-C86,0)</f>
        <v>3</v>
      </c>
      <c r="D95" s="167" t="s">
        <v>26</v>
      </c>
      <c r="E95" s="2324"/>
      <c r="F95" s="2323"/>
      <c r="G95" s="2323"/>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0" t="e">
        <f ca="1">IF(C95&lt;=0,0,C95/C86)</f>
        <v>#DIV/0!</v>
      </c>
      <c r="D96" s="167" t="s">
        <v>26</v>
      </c>
      <c r="E96" s="2317" t="e">
        <f ca="1">IF(C96&gt;=200%,"增值额超过扣除项目金额200%",IF(C96&gt;=100%,"增值额超过扣除项目金额100%，未超过200%",IF(C96&gt;=50%,"增值额超过扣除项目金额50%，未超过100%",IF(C96&lt;50%,"增值额未超过扣除项目金额50%"))))</f>
        <v>#DIV/0!</v>
      </c>
      <c r="F96" s="2323"/>
      <c r="G96" s="2323"/>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1" t="e">
        <f ca="1">ROUND(IF(C95&lt;=0,0,IF(C96&gt;=200%,C95*60%-C86*35%,IF(C96&gt;=100%,C95*50%-C86*15%,IF(C96&gt;=50%,C95*40%-C86*5%,IF(C96&lt;50%,C95*30%,0))))),0)</f>
        <v>#DIV/0!</v>
      </c>
      <c r="D97" s="2572"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7"/>
    </row>
    <row r="99" spans="1:35" ht="21.75" customHeight="1" thickBot="1">
      <c r="A99" s="1796" t="s">
        <v>1427</v>
      </c>
      <c r="B99" s="1743"/>
      <c r="C99" s="1743"/>
      <c r="D99" s="1743"/>
      <c r="E99" s="1574"/>
      <c r="F99" s="1574"/>
      <c r="G99" s="1574"/>
      <c r="H99" s="1573"/>
      <c r="I99" s="127"/>
    </row>
    <row r="100" spans="1:35" ht="18.75" customHeight="1">
      <c r="A100" s="3584" t="s">
        <v>1428</v>
      </c>
      <c r="B100" s="3585"/>
      <c r="C100" s="3585"/>
      <c r="D100" s="3619"/>
      <c r="E100" s="3585" t="s">
        <v>1429</v>
      </c>
      <c r="F100" s="3585"/>
      <c r="G100" s="3585"/>
      <c r="H100" s="3619"/>
      <c r="I100" s="127"/>
    </row>
    <row r="101" spans="1:35" ht="18.75" customHeight="1">
      <c r="A101" s="3627" t="s">
        <v>1430</v>
      </c>
      <c r="B101" s="3628"/>
      <c r="C101" s="2577" t="str">
        <f>C4</f>
        <v>成本法 (元)</v>
      </c>
      <c r="D101" s="2578" t="str">
        <f>D4</f>
        <v>比较法-住宅</v>
      </c>
      <c r="E101" s="3597" t="s">
        <v>1431</v>
      </c>
      <c r="F101" s="3598"/>
      <c r="G101" s="1823" t="s">
        <v>1432</v>
      </c>
      <c r="H101" s="2587">
        <f ca="1">H118</f>
        <v>3</v>
      </c>
      <c r="I101" s="127"/>
    </row>
    <row r="102" spans="1:35" ht="18.75" customHeight="1">
      <c r="A102" s="3629" t="s">
        <v>1433</v>
      </c>
      <c r="B102" s="2576" t="s">
        <v>1432</v>
      </c>
      <c r="C102" s="2577">
        <f ca="1">IF(D32="楼面单价",ROUND(C19,0),C19)</f>
        <v>3</v>
      </c>
      <c r="D102" s="2578">
        <f ca="1">IF(D32="楼面单价",ROUND(D19,0),D19)</f>
        <v>0</v>
      </c>
      <c r="E102" s="3597"/>
      <c r="F102" s="3598"/>
      <c r="G102" s="1823" t="s">
        <v>1434</v>
      </c>
      <c r="H102" s="2547">
        <f ca="1">I118</f>
        <v>29162</v>
      </c>
      <c r="I102" s="127"/>
    </row>
    <row r="103" spans="1:35" ht="42.75" customHeight="1">
      <c r="A103" s="3629"/>
      <c r="B103" s="2576" t="s">
        <v>1434</v>
      </c>
      <c r="C103" s="2579">
        <f ca="1">C20</f>
        <v>28385</v>
      </c>
      <c r="D103" s="2580">
        <f ca="1">D20</f>
        <v>29939</v>
      </c>
      <c r="E103" s="3590" t="s">
        <v>1435</v>
      </c>
      <c r="F103" s="3591"/>
      <c r="G103" s="1824" t="s">
        <v>1436</v>
      </c>
      <c r="H103" s="2587">
        <f>IF(D36="正常操作",H104+H105+H106,H105+H106)</f>
        <v>0</v>
      </c>
      <c r="I103" s="127"/>
    </row>
    <row r="104" spans="1:35" ht="18.75" customHeight="1">
      <c r="A104" s="3629" t="s">
        <v>1437</v>
      </c>
      <c r="B104" s="2581" t="s">
        <v>1432</v>
      </c>
      <c r="C104" s="2582">
        <f ca="1">H118</f>
        <v>3</v>
      </c>
      <c r="D104" s="2583"/>
      <c r="E104" s="1670" t="s">
        <v>1438</v>
      </c>
      <c r="F104" s="1662"/>
      <c r="G104" s="1824" t="s">
        <v>1436</v>
      </c>
      <c r="H104" s="2588">
        <f>IF(D36="同一抵押权人同一抵押物续贷",C36&amp;"（续贷，未扣减，详见特别提示）",C36)</f>
        <v>0</v>
      </c>
      <c r="I104" s="127"/>
    </row>
    <row r="105" spans="1:35" ht="18.75" customHeight="1" thickBot="1">
      <c r="A105" s="3639"/>
      <c r="B105" s="2584" t="s">
        <v>1434</v>
      </c>
      <c r="C105" s="2585">
        <f ca="1">I118</f>
        <v>29162</v>
      </c>
      <c r="D105" s="2586"/>
      <c r="E105" s="1670" t="s">
        <v>1439</v>
      </c>
      <c r="F105" s="1662"/>
      <c r="G105" s="1824" t="s">
        <v>1436</v>
      </c>
      <c r="H105" s="2589">
        <f>C37</f>
        <v>0</v>
      </c>
      <c r="I105" s="127"/>
    </row>
    <row r="106" spans="1:35" ht="18.75" customHeight="1">
      <c r="A106" s="1743" t="s">
        <v>1440</v>
      </c>
      <c r="B106" s="1743"/>
      <c r="C106" s="1743"/>
      <c r="D106" s="1743"/>
      <c r="E106" s="1825" t="s">
        <v>1441</v>
      </c>
      <c r="F106" s="1662"/>
      <c r="G106" s="1824" t="s">
        <v>1436</v>
      </c>
      <c r="H106" s="2589">
        <f>C38</f>
        <v>0</v>
      </c>
      <c r="I106" s="127"/>
    </row>
    <row r="107" spans="1:35" ht="18.75" customHeight="1">
      <c r="A107" s="127"/>
      <c r="B107" s="127"/>
      <c r="C107" s="127"/>
      <c r="D107" s="127"/>
      <c r="E107" s="3630" t="str">
        <f>IF(项目基本情况!E8="已注销","——","3.房地产抵押价值")</f>
        <v>3.房地产抵押价值</v>
      </c>
      <c r="F107" s="3598"/>
      <c r="G107" s="1823" t="s">
        <v>1432</v>
      </c>
      <c r="H107" s="2587">
        <f ca="1">IF(E107="——","——",H101-H103)</f>
        <v>3</v>
      </c>
      <c r="I107" s="127"/>
    </row>
    <row r="108" spans="1:35" ht="18.75" customHeight="1">
      <c r="A108" s="127"/>
      <c r="B108" s="127"/>
      <c r="C108" s="127"/>
      <c r="D108" s="127"/>
      <c r="E108" s="3630"/>
      <c r="F108" s="3598"/>
      <c r="G108" s="1823" t="s">
        <v>1434</v>
      </c>
      <c r="H108" s="2547">
        <f ca="1">IF(H107=H101,H102,ROUND(H107*10000/'数据-汇总表'!E3,0))</f>
        <v>29162</v>
      </c>
      <c r="I108" s="127"/>
    </row>
    <row r="109" spans="1:35" ht="18.75" customHeight="1">
      <c r="A109" s="127"/>
      <c r="B109" s="127"/>
      <c r="C109" s="127"/>
      <c r="D109" s="127"/>
      <c r="E109" s="3630" t="str">
        <f>IF(项目基本情况!E8="已注销及未注销","4.抵押担保权已注销时的房地产抵押价值",IF(项目基本情况!E8="已注销","3.抵押担保权已注销时的房地产抵押价值","——"))</f>
        <v>——</v>
      </c>
      <c r="F109" s="3598"/>
      <c r="G109" s="1823" t="s">
        <v>1432</v>
      </c>
      <c r="H109" s="2590" t="str">
        <f>IF(E109="——","——",H101-H105-H106)</f>
        <v>——</v>
      </c>
      <c r="I109" s="127"/>
    </row>
    <row r="110" spans="1:35" ht="18.75" customHeight="1">
      <c r="A110" s="127"/>
      <c r="B110" s="127"/>
      <c r="C110" s="127"/>
      <c r="D110" s="127"/>
      <c r="E110" s="3630"/>
      <c r="F110" s="3598"/>
      <c r="G110" s="1823" t="s">
        <v>1434</v>
      </c>
      <c r="H110" s="2547" t="str">
        <f>IF(H109="——","——",ROUND(H109*10000/'数据-汇总表'!E3,0))</f>
        <v>——</v>
      </c>
      <c r="I110" s="127"/>
    </row>
    <row r="111" spans="1:35" ht="18.75" customHeight="1">
      <c r="A111" s="127"/>
      <c r="B111" s="127"/>
      <c r="C111" s="127"/>
      <c r="D111" s="127"/>
      <c r="E111" s="3631" t="str">
        <f>IF(项目基本情况!E9="抵押净值",IF(OR(项目基本情况!E8="已注销",项目基本情况!E8="房地产抵押价值"),"4.抵押净值","5.抵押净值"),"——")</f>
        <v>——</v>
      </c>
      <c r="F111" s="3617"/>
      <c r="G111" s="1823" t="s">
        <v>1432</v>
      </c>
      <c r="H111" s="2587" t="str">
        <f>IF(E111="——","——",N59)</f>
        <v>——</v>
      </c>
      <c r="I111" s="127"/>
    </row>
    <row r="112" spans="1:35" ht="18.75" customHeight="1" thickBot="1">
      <c r="A112" s="127"/>
      <c r="B112" s="127"/>
      <c r="C112" s="127"/>
      <c r="D112" s="127"/>
      <c r="E112" s="3632"/>
      <c r="F112" s="3633"/>
      <c r="G112" s="1826" t="s">
        <v>1434</v>
      </c>
      <c r="H112" s="2591" t="str">
        <f>IF(E111="——","——",N61)</f>
        <v>——</v>
      </c>
      <c r="I112" s="127"/>
    </row>
    <row r="113" spans="1:27" ht="18.75" customHeight="1">
      <c r="A113" s="127"/>
      <c r="B113" s="127"/>
      <c r="C113" s="127"/>
      <c r="D113" s="127"/>
      <c r="E113" s="3640" t="s">
        <v>1440</v>
      </c>
      <c r="F113" s="3640"/>
      <c r="G113" s="3640"/>
      <c r="H113" s="3640"/>
      <c r="I113" s="127"/>
    </row>
    <row r="114" spans="1:27" ht="3.75" customHeight="1">
      <c r="A114" s="1743"/>
      <c r="B114" s="1743"/>
      <c r="C114" s="1743"/>
      <c r="D114" s="1743"/>
      <c r="E114" s="1805"/>
      <c r="F114" s="1805"/>
      <c r="G114" s="1805"/>
      <c r="H114" s="1805"/>
      <c r="I114" s="1743"/>
    </row>
    <row r="115" spans="1:27" ht="18.75" customHeight="1">
      <c r="A115" s="3648" t="s">
        <v>1442</v>
      </c>
      <c r="B115" s="3649"/>
      <c r="C115" s="3649"/>
      <c r="D115" s="3649"/>
      <c r="E115" s="3649"/>
      <c r="F115" s="3649"/>
      <c r="G115" s="3649"/>
      <c r="H115" s="3649"/>
      <c r="I115" s="3650"/>
    </row>
    <row r="116" spans="1:27" ht="27" customHeight="1">
      <c r="A116" s="3605" t="s">
        <v>1443</v>
      </c>
      <c r="B116" s="3609" t="s">
        <v>1444</v>
      </c>
      <c r="C116" s="3609" t="s">
        <v>1445</v>
      </c>
      <c r="D116" s="3615" t="s">
        <v>1446</v>
      </c>
      <c r="E116" s="3616"/>
      <c r="F116" s="3647" t="s">
        <v>1447</v>
      </c>
      <c r="G116" s="3647"/>
      <c r="H116" s="3605" t="s">
        <v>1448</v>
      </c>
      <c r="I116" s="3605"/>
    </row>
    <row r="117" spans="1:27" ht="18.75" customHeight="1">
      <c r="A117" s="3605"/>
      <c r="B117" s="3610"/>
      <c r="C117" s="3610"/>
      <c r="D117" s="2322" t="s">
        <v>1449</v>
      </c>
      <c r="E117" s="2322" t="s">
        <v>1450</v>
      </c>
      <c r="F117" s="2322" t="s">
        <v>1449</v>
      </c>
      <c r="G117" s="2322" t="s">
        <v>1451</v>
      </c>
      <c r="H117" s="2322" t="s">
        <v>1449</v>
      </c>
      <c r="I117" s="2322" t="s">
        <v>1451</v>
      </c>
    </row>
    <row r="118" spans="1:27" ht="24.75" customHeight="1">
      <c r="A118" s="2592" t="str">
        <f>项目基本情况!S2</f>
        <v>北京市房地产</v>
      </c>
      <c r="B118" s="2322">
        <f>M18</f>
        <v>1</v>
      </c>
      <c r="C118" s="2322">
        <f>M19</f>
        <v>0.45</v>
      </c>
      <c r="D118" s="2322" t="e">
        <f ca="1">ROUND(IF(D32="总价",C34,E118*B118/10000),0)</f>
        <v>#REF!</v>
      </c>
      <c r="E118" s="2322" t="e">
        <f ca="1">ROUND(IF(C33="自定义",IF(D32="楼面单价",C34,D118*10000/B118),I118-G118),0)</f>
        <v>#REF!</v>
      </c>
      <c r="F118" s="2322" t="e">
        <f ca="1">ROUND(IF(D32="总价",C35,G118*B118/10000),0)</f>
        <v>#REF!</v>
      </c>
      <c r="G118" s="2322" t="e">
        <f ca="1">ROUND(IF(D32="楼面单价",C35,F118*10000/B118),0)</f>
        <v>#REF!</v>
      </c>
      <c r="H118" s="2322">
        <f ca="1">ROUND(IF(D32="总价",C32,I118*B118/10000),0)</f>
        <v>3</v>
      </c>
      <c r="I118" s="2322">
        <f ca="1">ROUND(IF(D32="楼面单价",C32,H118*10000/B118),0)</f>
        <v>29162</v>
      </c>
    </row>
    <row r="119" spans="1:27" ht="18.75" customHeight="1">
      <c r="A119" s="3605" t="s">
        <v>1452</v>
      </c>
      <c r="B119" s="3605"/>
      <c r="C119" s="3605"/>
      <c r="D119" s="3611" t="e">
        <f ca="1">NUMBERSTRING(INT(D118*10000),2)&amp;"元整"</f>
        <v>#REF!</v>
      </c>
      <c r="E119" s="3612"/>
      <c r="F119" s="3611" t="e">
        <f ca="1">NUMBERSTRING(INT(F118*10000),2)&amp;"元整"</f>
        <v>#REF!</v>
      </c>
      <c r="G119" s="3612"/>
      <c r="H119" s="3611" t="str">
        <f ca="1">NUMBERSTRING(INT(H118*10000),2)&amp;"元整"</f>
        <v>叁万元整</v>
      </c>
      <c r="I119" s="3612"/>
    </row>
    <row r="120" spans="1:27" ht="18.75" customHeight="1">
      <c r="A120" s="3606" t="str">
        <f>IF(项目基本情况!B9="房地产市场价值","",MID(E103,3,LEN(E103)-2))</f>
        <v/>
      </c>
      <c r="B120" s="3607"/>
      <c r="C120" s="3608"/>
      <c r="D120" s="3606">
        <f>H103</f>
        <v>0</v>
      </c>
      <c r="E120" s="3607"/>
      <c r="F120" s="3607"/>
      <c r="G120" s="3607"/>
      <c r="H120" s="3607"/>
      <c r="I120" s="3608"/>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11" t="s">
        <v>1452</v>
      </c>
      <c r="B121" s="3613"/>
      <c r="C121" s="3612"/>
      <c r="D121" s="3611" t="str">
        <f>IF(D120=0,"零元整",NUMBERSTRING(INT(D120*10000),2)&amp;"元整")</f>
        <v>零元整</v>
      </c>
      <c r="E121" s="3613"/>
      <c r="F121" s="3613"/>
      <c r="G121" s="3613"/>
      <c r="H121" s="3613"/>
      <c r="I121" s="3612"/>
      <c r="AA121" s="721"/>
    </row>
    <row r="122" spans="1:27" ht="18.75" customHeight="1">
      <c r="A122" s="3617" t="str">
        <f>IF(项目基本情况!B9="房地产市场价值","",MID(E107,3,LEN(E107)-2))</f>
        <v/>
      </c>
      <c r="B122" s="3617"/>
      <c r="C122" s="3617"/>
      <c r="D122" s="3606">
        <f ca="1">H107</f>
        <v>3</v>
      </c>
      <c r="E122" s="3607"/>
      <c r="F122" s="3607"/>
      <c r="G122" s="3607"/>
      <c r="H122" s="3607"/>
      <c r="I122" s="3608"/>
      <c r="AA122" s="721"/>
    </row>
    <row r="123" spans="1:27" ht="18.75" customHeight="1">
      <c r="A123" s="3605" t="s">
        <v>1452</v>
      </c>
      <c r="B123" s="3605"/>
      <c r="C123" s="3605"/>
      <c r="D123" s="3611" t="str">
        <f ca="1">NUMBERSTRING(INT(D122*10000),2)&amp;"元整"</f>
        <v>叁万元整</v>
      </c>
      <c r="E123" s="3613"/>
      <c r="F123" s="3613"/>
      <c r="G123" s="3613"/>
      <c r="H123" s="3613"/>
      <c r="I123" s="3612"/>
      <c r="AA123" s="721"/>
    </row>
    <row r="124" spans="1:27" ht="18.75" customHeight="1">
      <c r="A124" s="3617" t="str">
        <f>IF(项目基本情况!B9="房地产市场价值","",MID(E109,3,LEN(E109)-2))</f>
        <v/>
      </c>
      <c r="B124" s="3617"/>
      <c r="C124" s="3617"/>
      <c r="D124" s="3606" t="str">
        <f>H109</f>
        <v>——</v>
      </c>
      <c r="E124" s="3607"/>
      <c r="F124" s="3607"/>
      <c r="G124" s="3607"/>
      <c r="H124" s="3607"/>
      <c r="I124" s="3608"/>
      <c r="AA124" s="721"/>
    </row>
    <row r="125" spans="1:27" ht="18.75" customHeight="1">
      <c r="A125" s="3605" t="s">
        <v>1452</v>
      </c>
      <c r="B125" s="3605"/>
      <c r="C125" s="3605"/>
      <c r="D125" s="3611" t="e">
        <f>NUMBERSTRING(INT(D124*10000),2)&amp;"元整"</f>
        <v>#VALUE!</v>
      </c>
      <c r="E125" s="3613"/>
      <c r="F125" s="3613"/>
      <c r="G125" s="3613"/>
      <c r="H125" s="3613"/>
      <c r="I125" s="3612"/>
      <c r="AA125" s="721"/>
    </row>
    <row r="126" spans="1:27" ht="18.75" customHeight="1">
      <c r="A126" s="3617" t="str">
        <f>IF(项目基本情况!B9="房地产市场价值","",MID(E111,3,LEN(E111)-2))</f>
        <v/>
      </c>
      <c r="B126" s="3617"/>
      <c r="C126" s="3617"/>
      <c r="D126" s="3606" t="str">
        <f>H111</f>
        <v>——</v>
      </c>
      <c r="E126" s="3607"/>
      <c r="F126" s="3607"/>
      <c r="G126" s="3607"/>
      <c r="H126" s="3607"/>
      <c r="I126" s="3608"/>
      <c r="AA126" s="721"/>
    </row>
    <row r="127" spans="1:27" ht="18.75" customHeight="1">
      <c r="A127" s="3605" t="s">
        <v>1452</v>
      </c>
      <c r="B127" s="3605"/>
      <c r="C127" s="3605"/>
      <c r="D127" s="3611" t="e">
        <f>NUMBERSTRING(INT(D126*10000),2)&amp;"元整"</f>
        <v>#VALUE!</v>
      </c>
      <c r="E127" s="3613"/>
      <c r="F127" s="3613"/>
      <c r="G127" s="3613"/>
      <c r="H127" s="3613"/>
      <c r="I127" s="3612"/>
      <c r="AA127" s="721"/>
    </row>
    <row r="128" spans="1:27" ht="21.75" customHeight="1">
      <c r="A128" s="3614" t="s">
        <v>1453</v>
      </c>
      <c r="B128" s="3614"/>
      <c r="C128" s="3614"/>
      <c r="D128" s="3614"/>
      <c r="E128" s="3614"/>
      <c r="F128" s="3614"/>
      <c r="G128" s="3614"/>
      <c r="H128" s="3614"/>
      <c r="I128" s="3614"/>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8"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1</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0</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3"/>
      <c r="H9" s="1133"/>
      <c r="I9" s="1854"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2"/>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0.03</v>
      </c>
      <c r="D21" s="233" t="s">
        <v>1498</v>
      </c>
      <c r="E21" s="229"/>
      <c r="F21" s="230">
        <f>'数据-取费表'!B38</f>
        <v>0.03</v>
      </c>
      <c r="G21" s="231" t="s">
        <v>1499</v>
      </c>
    </row>
    <row r="22" spans="1:7" s="211" customFormat="1" ht="13.5" customHeight="1">
      <c r="A22" s="252" t="s">
        <v>1500</v>
      </c>
      <c r="B22" s="207" t="s">
        <v>1501</v>
      </c>
      <c r="C22" s="1100">
        <f ca="1">ROUND(SUM(C23:C25),0)</f>
        <v>0</v>
      </c>
      <c r="D22" s="232">
        <f ca="1">C26</f>
        <v>2.2000000000000001E-3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2.2000000000000001E-3</v>
      </c>
      <c r="D26" s="235"/>
      <c r="E26" s="238"/>
      <c r="F26" s="236"/>
      <c r="G26" s="240"/>
    </row>
    <row r="27" spans="1:7" s="211" customFormat="1" ht="24.75">
      <c r="A27" s="252" t="s">
        <v>1512</v>
      </c>
      <c r="B27" s="241" t="s">
        <v>1513</v>
      </c>
      <c r="C27" s="242">
        <f ca="1">C28</f>
        <v>0</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3.0000000000000001E-3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0.05</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0.05</v>
      </c>
      <c r="G36" s="257" t="s">
        <v>1530</v>
      </c>
    </row>
    <row r="37" spans="1:7" s="255" customFormat="1" ht="13.5" customHeight="1">
      <c r="A37" s="776" t="s">
        <v>353</v>
      </c>
      <c r="B37" s="212" t="s">
        <v>1531</v>
      </c>
      <c r="C37" s="246">
        <f ca="1">ROUND(E37*D37*F34/10000,0)</f>
        <v>0</v>
      </c>
      <c r="D37" s="214">
        <f ca="1">D19</f>
        <v>1</v>
      </c>
      <c r="E37" s="246">
        <f>'数据-取费表'!B35</f>
        <v>200</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0</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684" t="s">
        <v>1544</v>
      </c>
    </row>
    <row r="43" spans="1:7" ht="13.5" customHeight="1">
      <c r="A43" s="776" t="s">
        <v>347</v>
      </c>
      <c r="B43" s="212" t="s">
        <v>1545</v>
      </c>
      <c r="C43" s="235">
        <f ca="1">ROUND(IF('数据-取费表'!B22&lt;=1,C39*F22*'数据-取费表'!B21/2,C39*(POWER((1+F22),'数据-取费表'!B21/2)-1)),0)</f>
        <v>0</v>
      </c>
      <c r="D43" s="235"/>
      <c r="E43" s="235"/>
      <c r="F43" s="236"/>
      <c r="G43" s="3685"/>
    </row>
    <row r="44" spans="1:7" ht="13.5" customHeight="1">
      <c r="A44" s="776" t="s">
        <v>348</v>
      </c>
      <c r="B44" s="212" t="s">
        <v>1546</v>
      </c>
      <c r="C44" s="235">
        <f ca="1">ROUND(IF('数据-取费表'!B22&lt;=1,C40*F22*'数据-取费表'!B21/2,C40*(POWER((1+F22),'数据-取费表'!B21/2)-1)),4)</f>
        <v>2.2000000000000001E-3</v>
      </c>
      <c r="D44" s="235"/>
      <c r="E44" s="235"/>
      <c r="F44" s="236"/>
      <c r="G44" s="3686"/>
    </row>
    <row r="45" spans="1:7" s="211" customFormat="1" ht="13.5" customHeight="1">
      <c r="A45" s="252" t="s">
        <v>1547</v>
      </c>
      <c r="B45" s="241" t="s">
        <v>1513</v>
      </c>
      <c r="C45" s="242">
        <f ca="1">C46</f>
        <v>0</v>
      </c>
      <c r="D45" s="232">
        <f ca="1">C47</f>
        <v>3.0000000000000001E-3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00" t="str">
        <f>项目基本情况!B1</f>
        <v>北京市房地产市场价值预评估</v>
      </c>
      <c r="C37" s="3500"/>
      <c r="D37" s="3500"/>
      <c r="E37" s="3500"/>
      <c r="F37" s="3500"/>
      <c r="G37" s="3500"/>
      <c r="H37" s="3500"/>
      <c r="I37" s="3500"/>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Normal="70" zoomScaleSheetLayoutView="100" workbookViewId="0">
      <selection activeCell="E30" sqref="E30"/>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6" t="s">
        <v>3408</v>
      </c>
      <c r="C1" s="1855" t="s">
        <v>1563</v>
      </c>
      <c r="D1" s="195"/>
      <c r="E1" s="195"/>
      <c r="F1" s="195"/>
      <c r="G1" s="1122">
        <f>MATCH(B1,'数据-取费表'!A6:A16,0)+5</f>
        <v>6</v>
      </c>
      <c r="H1" s="1057" t="str">
        <f>IF(ISERROR(FIND("住宅",B1)),"非住宅","住宅")</f>
        <v>住宅</v>
      </c>
    </row>
    <row r="2" spans="1:8" s="197" customFormat="1" ht="18" customHeight="1">
      <c r="A2" s="198" t="s">
        <v>1462</v>
      </c>
      <c r="B2" s="3416">
        <f ca="1">ROUND(IF(D2="——",C52/10000,C52/10000-E2),4)</f>
        <v>2.8384999999999998</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28385</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15302</v>
      </c>
      <c r="D5" s="208" t="s">
        <v>1469</v>
      </c>
      <c r="E5" s="209" t="s">
        <v>1470</v>
      </c>
      <c r="F5" s="209" t="s">
        <v>1471</v>
      </c>
      <c r="G5" s="210"/>
    </row>
    <row r="6" spans="1:8" s="211" customFormat="1" ht="13.5" customHeight="1">
      <c r="A6" s="774" t="s">
        <v>1472</v>
      </c>
      <c r="B6" s="212" t="s">
        <v>1473</v>
      </c>
      <c r="C6" s="213">
        <f>'土地比较法-住宅、综合'!C48</f>
        <v>14849</v>
      </c>
      <c r="D6" s="214"/>
      <c r="E6" s="215"/>
      <c r="F6" s="215"/>
      <c r="G6" s="216"/>
    </row>
    <row r="7" spans="1:8" s="211" customFormat="1" ht="13.5" customHeight="1">
      <c r="A7" s="774" t="s">
        <v>1474</v>
      </c>
      <c r="B7" s="212" t="s">
        <v>1475</v>
      </c>
      <c r="C7" s="217">
        <f>ROUND(C6*F7,0)</f>
        <v>453</v>
      </c>
      <c r="D7" s="217"/>
      <c r="E7" s="215"/>
      <c r="F7" s="218">
        <f>IF(项目基本情况!B8="出让",0,'数据-取费表'!B48+'数据-取费表'!B49)</f>
        <v>3.0499999999999999E-2</v>
      </c>
      <c r="G7" s="216"/>
    </row>
    <row r="8" spans="1:8" s="220" customFormat="1">
      <c r="A8" s="774" t="s">
        <v>1476</v>
      </c>
      <c r="B8" s="212" t="s">
        <v>1477</v>
      </c>
      <c r="C8" s="217">
        <f>IF(G8="已包含在土地购买价格中",0,C9+C10)</f>
        <v>0</v>
      </c>
      <c r="D8" s="219"/>
      <c r="E8" s="217"/>
      <c r="F8" s="218"/>
      <c r="G8" s="1852"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2" t="s">
        <v>3416</v>
      </c>
    </row>
    <row r="20" spans="1:7" s="211" customFormat="1" ht="13.5" customHeight="1">
      <c r="A20" s="252" t="s">
        <v>1574</v>
      </c>
      <c r="B20" s="207" t="s">
        <v>1575</v>
      </c>
      <c r="C20" s="229">
        <f>ROUND((C5+C19)*F20,0)</f>
        <v>459</v>
      </c>
      <c r="D20" s="229"/>
      <c r="E20" s="229"/>
      <c r="F20" s="230">
        <f>'数据-取费表'!B37</f>
        <v>0.03</v>
      </c>
      <c r="G20" s="231" t="s">
        <v>1576</v>
      </c>
    </row>
    <row r="21" spans="1:7" s="211" customFormat="1" ht="13.5" customHeight="1">
      <c r="A21" s="252" t="s">
        <v>1577</v>
      </c>
      <c r="B21" s="207" t="s">
        <v>1578</v>
      </c>
      <c r="C21" s="232">
        <f>F21</f>
        <v>0.03</v>
      </c>
      <c r="D21" s="233" t="s">
        <v>1579</v>
      </c>
      <c r="E21" s="229"/>
      <c r="F21" s="230">
        <f>'数据-取费表'!B38</f>
        <v>0.03</v>
      </c>
      <c r="G21" s="231" t="s">
        <v>1580</v>
      </c>
    </row>
    <row r="22" spans="1:7" s="211" customFormat="1" ht="13.5" customHeight="1">
      <c r="A22" s="252" t="s">
        <v>1581</v>
      </c>
      <c r="B22" s="207" t="s">
        <v>1582</v>
      </c>
      <c r="C22" s="1123">
        <f ca="1">ROUND(SUM(C23:C25),0)</f>
        <v>2319</v>
      </c>
      <c r="D22" s="232">
        <f ca="1">C26</f>
        <v>2.2000000000000001E-3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2286</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33</v>
      </c>
      <c r="D25" s="235"/>
      <c r="E25" s="238"/>
      <c r="F25" s="236"/>
      <c r="G25" s="239" t="s">
        <v>1588</v>
      </c>
    </row>
    <row r="26" spans="1:7" s="211" customFormat="1">
      <c r="A26" s="776" t="s">
        <v>350</v>
      </c>
      <c r="B26" s="212" t="s">
        <v>1511</v>
      </c>
      <c r="C26" s="235">
        <f ca="1">ROUND(IF('数据-取费表'!B22&lt;=1,F21*F22*'数据-取费表'!B22/2,F21*(POWER((1+F22),'数据-取费表'!B22/2)-1)),4)</f>
        <v>2.2000000000000001E-3</v>
      </c>
      <c r="D26" s="235"/>
      <c r="E26" s="238"/>
      <c r="F26" s="236"/>
      <c r="G26" s="240"/>
    </row>
    <row r="27" spans="1:7" s="211" customFormat="1" ht="24.75">
      <c r="A27" s="252" t="s">
        <v>1512</v>
      </c>
      <c r="B27" s="241" t="s">
        <v>1513</v>
      </c>
      <c r="C27" s="242">
        <f ca="1">C28</f>
        <v>1576</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ROUND((C5+C19+C20)*F27,0)</f>
        <v>1576</v>
      </c>
      <c r="D28" s="232"/>
      <c r="E28" s="233"/>
      <c r="F28" s="243"/>
      <c r="G28" s="244"/>
    </row>
    <row r="29" spans="1:7" s="211" customFormat="1" ht="13.5" customHeight="1">
      <c r="A29" s="776" t="s">
        <v>347</v>
      </c>
      <c r="B29" s="245" t="s">
        <v>1517</v>
      </c>
      <c r="C29" s="235">
        <f ca="1">ROUND(C21*F27,4)</f>
        <v>3.0000000000000001E-3</v>
      </c>
      <c r="D29" s="232"/>
      <c r="E29" s="233"/>
      <c r="F29" s="243"/>
      <c r="G29" s="244"/>
    </row>
    <row r="30" spans="1:7" s="211" customFormat="1" ht="13.5" customHeight="1">
      <c r="A30" s="252" t="s">
        <v>1518</v>
      </c>
      <c r="B30" s="207" t="s">
        <v>1519</v>
      </c>
      <c r="C30" s="3447">
        <f>ROUND((1/1.09*0.09-C21/1.06*0.06)*(1+'数据-取费表'!B44+'数据-取费表'!B45+'数据-取费表'!B46),4)</f>
        <v>8.8999999999999996E-2</v>
      </c>
      <c r="D30" s="232" t="s">
        <v>1514</v>
      </c>
      <c r="E30" s="3447">
        <f>ROUND(C6/1.09*0.09*(1+'数据-取费表'!B44+'数据-取费表'!B45+'数据-取费表'!B46),0)</f>
        <v>1349</v>
      </c>
      <c r="F30" s="234">
        <f>'数据-取费表'!B41</f>
        <v>5.5000000000000007E-2</v>
      </c>
      <c r="G30" s="231" t="s">
        <v>1520</v>
      </c>
    </row>
    <row r="31" spans="1:7" ht="16.5" customHeight="1">
      <c r="A31" s="206">
        <v>1</v>
      </c>
      <c r="B31" s="207" t="s">
        <v>1521</v>
      </c>
      <c r="C31" s="3448">
        <f ca="1">ROUND((C5+C19+C20+C22+C27-E30)/(1-C21-D22-D27-C30),0)</f>
        <v>20903</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5850</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5000</v>
      </c>
      <c r="D34" s="214"/>
      <c r="E34" s="217"/>
      <c r="F34" s="254"/>
      <c r="G34" s="216"/>
    </row>
    <row r="35" spans="1:7" ht="13.5" customHeight="1">
      <c r="A35" s="776" t="s">
        <v>351</v>
      </c>
      <c r="B35" s="212" t="s">
        <v>1527</v>
      </c>
      <c r="C35" s="217">
        <f ca="1">ROUND(C34*F35,0)</f>
        <v>250</v>
      </c>
      <c r="D35" s="217"/>
      <c r="E35" s="217"/>
      <c r="F35" s="256">
        <f>'数据-取费表'!B33</f>
        <v>0.05</v>
      </c>
      <c r="G35" s="216" t="s">
        <v>1528</v>
      </c>
    </row>
    <row r="36" spans="1:7" ht="24">
      <c r="A36" s="776" t="s">
        <v>352</v>
      </c>
      <c r="B36" s="212" t="s">
        <v>1529</v>
      </c>
      <c r="C36" s="217">
        <f ca="1">ROUND(IF(B1="",SUM('数据-取费表'!AP6:AP13)*F36,IF(INDIRECT("'数据-取费表'!c"&amp;$G$1)="住宅",INDIRECT("'数据-取费表'!k"&amp;$G$1)*INDIRECT("'数据-取费表'!l"&amp;$G$1)*F36,0)),0)</f>
        <v>250</v>
      </c>
      <c r="D36" s="217"/>
      <c r="E36" s="217"/>
      <c r="F36" s="256">
        <f>'数据-取费表'!B34</f>
        <v>0.05</v>
      </c>
      <c r="G36" s="257" t="s">
        <v>1530</v>
      </c>
    </row>
    <row r="37" spans="1:7" s="255" customFormat="1" ht="13.5" customHeight="1">
      <c r="A37" s="776" t="s">
        <v>353</v>
      </c>
      <c r="B37" s="212" t="s">
        <v>1531</v>
      </c>
      <c r="C37" s="246">
        <f ca="1">ROUND(E37*D37,0)</f>
        <v>200</v>
      </c>
      <c r="D37" s="214">
        <f ca="1">D19</f>
        <v>1</v>
      </c>
      <c r="E37" s="246">
        <f>'数据-取费表'!B35</f>
        <v>200</v>
      </c>
      <c r="F37" s="256"/>
      <c r="G37" s="258"/>
    </row>
    <row r="38" spans="1:7" ht="13.5" customHeight="1">
      <c r="A38" s="776" t="s">
        <v>354</v>
      </c>
      <c r="B38" s="212" t="s">
        <v>1533</v>
      </c>
      <c r="C38" s="217">
        <f ca="1">ROUND(C34*F38,0)</f>
        <v>150</v>
      </c>
      <c r="D38" s="217"/>
      <c r="E38" s="217"/>
      <c r="F38" s="256">
        <f>'数据-取费表'!B36</f>
        <v>0.03</v>
      </c>
      <c r="G38" s="216" t="s">
        <v>1528</v>
      </c>
    </row>
    <row r="39" spans="1:7" s="211" customFormat="1" ht="13.5" customHeight="1">
      <c r="A39" s="252" t="s">
        <v>1534</v>
      </c>
      <c r="B39" s="207" t="s">
        <v>1535</v>
      </c>
      <c r="C39" s="229">
        <f ca="1">ROUND(C33*F20,0)</f>
        <v>176</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435</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422</v>
      </c>
      <c r="D42" s="235"/>
      <c r="E42" s="235"/>
      <c r="F42" s="236"/>
      <c r="G42" s="3684" t="s">
        <v>1591</v>
      </c>
    </row>
    <row r="43" spans="1:7" ht="13.5" customHeight="1">
      <c r="A43" s="776" t="s">
        <v>347</v>
      </c>
      <c r="B43" s="212" t="s">
        <v>1545</v>
      </c>
      <c r="C43" s="235">
        <f ca="1">ROUND(IF('数据-取费表'!B22&lt;=1,C39*F22*'数据-取费表'!B20/2,C39*(POWER((1+F22),'数据-取费表'!B20/2)-1)),0)</f>
        <v>13</v>
      </c>
      <c r="D43" s="235"/>
      <c r="E43" s="235"/>
      <c r="F43" s="236"/>
      <c r="G43" s="3685"/>
    </row>
    <row r="44" spans="1:7" ht="13.5" customHeight="1">
      <c r="A44" s="776" t="s">
        <v>348</v>
      </c>
      <c r="B44" s="212" t="s">
        <v>1546</v>
      </c>
      <c r="C44" s="235">
        <f ca="1">ROUND(IF('数据-取费表'!B22&lt;=1,C40*F22*'数据-取费表'!B20/2,C40*(POWER((1+F22),'数据-取费表'!B20/2)-1)),4)</f>
        <v>2.2000000000000001E-3</v>
      </c>
      <c r="D44" s="235"/>
      <c r="E44" s="235"/>
      <c r="F44" s="236"/>
      <c r="G44" s="3686"/>
    </row>
    <row r="45" spans="1:7" s="211" customFormat="1" ht="13.5" customHeight="1">
      <c r="A45" s="252" t="s">
        <v>1547</v>
      </c>
      <c r="B45" s="241" t="s">
        <v>1513</v>
      </c>
      <c r="C45" s="242">
        <f ca="1">C46</f>
        <v>603</v>
      </c>
      <c r="D45" s="232">
        <f ca="1">C47</f>
        <v>3.0000000000000001E-3</v>
      </c>
      <c r="E45" s="233" t="s">
        <v>1539</v>
      </c>
      <c r="F45" s="243">
        <f ca="1">F27</f>
        <v>0.1</v>
      </c>
      <c r="G45" s="244" t="s">
        <v>1548</v>
      </c>
    </row>
    <row r="46" spans="1:7" s="211" customFormat="1" ht="13.5" customHeight="1">
      <c r="A46" s="776" t="s">
        <v>346</v>
      </c>
      <c r="B46" s="245" t="s">
        <v>1549</v>
      </c>
      <c r="C46" s="246">
        <f ca="1">ROUND((C33+C39)*F27,0)</f>
        <v>603</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3449">
        <f>ROUND((1/1.09*0.09-C40/1.06*0.06)*(1+'数据-取费表'!B44+'数据-取费表'!B45+'数据-取费表'!B46),4)</f>
        <v>8.8999999999999996E-2</v>
      </c>
      <c r="D48" s="229" t="s">
        <v>1539</v>
      </c>
      <c r="E48" s="3447">
        <f ca="1">ROUND(((C34+C36+C37)/1.09*0.09+(C35)/1.06*0.06)*(1+'数据-取费表'!B44+'数据-取费表'!B45+'数据-取费表'!B46),0)</f>
        <v>511</v>
      </c>
      <c r="F48" s="234">
        <f>F30</f>
        <v>5.5000000000000007E-2</v>
      </c>
      <c r="G48" s="231" t="s">
        <v>1552</v>
      </c>
    </row>
    <row r="49" spans="1:7" ht="16.5" customHeight="1">
      <c r="A49" s="252" t="s">
        <v>1518</v>
      </c>
      <c r="B49" s="207" t="s">
        <v>1592</v>
      </c>
      <c r="C49" s="3447">
        <f ca="1">ROUND((C33+C39+C41+C45-E48)/(1-C40-D41-D45-C48),0)</f>
        <v>7482</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7482</v>
      </c>
      <c r="D51" s="229"/>
      <c r="E51" s="229"/>
      <c r="F51" s="261"/>
      <c r="G51" s="231" t="s">
        <v>1560</v>
      </c>
    </row>
    <row r="52" spans="1:7" s="205" customFormat="1" ht="16.5" thickBot="1">
      <c r="A52" s="262" t="s">
        <v>1561</v>
      </c>
      <c r="B52" s="263"/>
      <c r="C52" s="264">
        <f ca="1">C31+C51</f>
        <v>28385</v>
      </c>
      <c r="D52" s="263"/>
      <c r="E52" s="263"/>
      <c r="F52" s="263"/>
      <c r="G52" s="265"/>
    </row>
    <row r="55" spans="1:7" ht="15">
      <c r="B55" s="267" t="s">
        <v>1562</v>
      </c>
      <c r="C55" s="268"/>
    </row>
    <row r="56" spans="1:7">
      <c r="B56" s="270" t="s">
        <v>802</v>
      </c>
      <c r="C56" s="272">
        <f ca="1">1-C57</f>
        <v>0.73599999999999999</v>
      </c>
    </row>
    <row r="57" spans="1:7">
      <c r="B57" s="270" t="s">
        <v>803</v>
      </c>
      <c r="C57" s="271">
        <f ca="1">ROUND(C51/C52,3)</f>
        <v>0.26400000000000001</v>
      </c>
    </row>
  </sheetData>
  <sheetProtection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798"/>
      <c r="F1" s="2798"/>
      <c r="G1" s="2663"/>
      <c r="H1" s="2798"/>
      <c r="I1" s="2798"/>
      <c r="J1" s="2798"/>
      <c r="K1" s="2799">
        <f>MATCH(C1,'数据-取费表'!A6:A16,0)+5</f>
        <v>7</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0.05</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5"/>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0.03</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8"/>
      <c r="H2" s="2687"/>
      <c r="I2" s="2687"/>
      <c r="J2" s="2687"/>
      <c r="K2" s="2688"/>
      <c r="L2" s="2687"/>
      <c r="M2" s="2687"/>
    </row>
    <row r="3" spans="1:37" ht="18" customHeight="1" thickBot="1">
      <c r="A3" s="1386" t="s">
        <v>806</v>
      </c>
      <c r="B3" s="1387">
        <f ca="1">IF(ISERROR(B2*10000/F43),0,ROUND(B2*10000/F43,0))</f>
        <v>0</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0</v>
      </c>
      <c r="D5" s="1360" t="s">
        <v>693</v>
      </c>
      <c r="E5" s="1067"/>
      <c r="F5" s="1068"/>
      <c r="G5" s="1380"/>
      <c r="H5" s="296">
        <v>1</v>
      </c>
      <c r="I5" s="297" t="s">
        <v>692</v>
      </c>
      <c r="J5" s="1066">
        <f ca="1">J6+J10+J12</f>
        <v>0</v>
      </c>
      <c r="K5" s="1360" t="s">
        <v>693</v>
      </c>
      <c r="L5" s="1067"/>
      <c r="M5" s="1068"/>
    </row>
    <row r="6" spans="1:37" ht="18" customHeight="1">
      <c r="A6" s="1065" t="s">
        <v>398</v>
      </c>
      <c r="B6" s="3689" t="s">
        <v>694</v>
      </c>
      <c r="C6" s="1070">
        <f ca="1">ROUND(F6*F8*F7*(1-F9)/10000,0)</f>
        <v>0</v>
      </c>
      <c r="D6" s="152" t="s">
        <v>2109</v>
      </c>
      <c r="E6" s="299" t="s">
        <v>696</v>
      </c>
      <c r="F6" s="300">
        <f ca="1">INDIRECT("'数据-取费表'!u"&amp;$G$1)</f>
        <v>0</v>
      </c>
      <c r="G6" s="1380"/>
      <c r="H6" s="1065" t="s">
        <v>398</v>
      </c>
      <c r="I6" s="3689" t="s">
        <v>694</v>
      </c>
      <c r="J6" s="298">
        <f ca="1">ROUND(M6*M8*M7*(1-M9)/10000,0)</f>
        <v>0</v>
      </c>
      <c r="K6" s="152" t="s">
        <v>2108</v>
      </c>
      <c r="L6" s="299" t="s">
        <v>696</v>
      </c>
      <c r="M6" s="300">
        <f ca="1">INDIRECT("'数据-取费表'!z"&amp;$G$1)</f>
        <v>0</v>
      </c>
    </row>
    <row r="7" spans="1:37" ht="18" customHeight="1">
      <c r="A7" s="1069"/>
      <c r="B7" s="3690"/>
      <c r="C7" s="1071"/>
      <c r="D7" s="304"/>
      <c r="E7" s="1072" t="s">
        <v>697</v>
      </c>
      <c r="F7" s="300">
        <f ca="1">IF(INDIRECT("'数据-取费表'!ah"&amp;$G$1)="",INDIRECT("'数据-取费表'!k"&amp;$G$1),INDIRECT("'数据-取费表'!ah"&amp;$G$1))</f>
        <v>0</v>
      </c>
      <c r="G7" s="1380"/>
      <c r="H7" s="301"/>
      <c r="I7" s="3690"/>
      <c r="J7" s="303"/>
      <c r="K7" s="304"/>
      <c r="L7" s="299" t="s">
        <v>697</v>
      </c>
      <c r="M7" s="300">
        <f ca="1">F7</f>
        <v>0</v>
      </c>
    </row>
    <row r="8" spans="1:37" ht="18" customHeight="1">
      <c r="A8" s="301"/>
      <c r="B8" s="3690"/>
      <c r="C8" s="303"/>
      <c r="D8" s="304"/>
      <c r="E8" s="299" t="s">
        <v>698</v>
      </c>
      <c r="F8" s="300">
        <f ca="1">INDIRECT("'数据-取费表'!ai"&amp;$G$1)</f>
        <v>0</v>
      </c>
      <c r="G8" s="1380"/>
      <c r="H8" s="301"/>
      <c r="I8" s="3690"/>
      <c r="J8" s="303"/>
      <c r="K8" s="304"/>
      <c r="L8" s="299" t="s">
        <v>698</v>
      </c>
      <c r="M8" s="300">
        <f ca="1">INDIRECT("'数据-取费表'!ai"&amp;$G$1)</f>
        <v>0</v>
      </c>
    </row>
    <row r="9" spans="1:37" ht="18" customHeight="1">
      <c r="A9" s="301"/>
      <c r="B9" s="3691"/>
      <c r="C9" s="303"/>
      <c r="D9" s="304"/>
      <c r="E9" s="299" t="s">
        <v>699</v>
      </c>
      <c r="F9" s="309">
        <f ca="1">INDIRECT("'数据-取费表'!w"&amp;$G$1)</f>
        <v>0</v>
      </c>
      <c r="G9" s="1380"/>
      <c r="H9" s="301"/>
      <c r="I9" s="3691"/>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2117</v>
      </c>
      <c r="E10" s="310" t="s">
        <v>701</v>
      </c>
      <c r="F10" s="1112"/>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ROUND(F17*(F43+INDIRECT("'数据-取费表'!S"&amp;$G$1))/10000,0)</f>
        <v>0</v>
      </c>
      <c r="D17" s="299" t="s">
        <v>717</v>
      </c>
      <c r="E17" s="299" t="s">
        <v>718</v>
      </c>
      <c r="F17" s="23">
        <f>'数据-取费表'!B35</f>
        <v>200</v>
      </c>
      <c r="G17" s="1392"/>
      <c r="H17" s="978" t="s">
        <v>398</v>
      </c>
      <c r="I17" s="299" t="s">
        <v>719</v>
      </c>
      <c r="J17" s="2309">
        <f ca="1">ROUND(IF(AND(项目基本情况!B11="自然人",项目基本情况!B10="北京市"),J6*M17/(1+'数据-取费表'!C42),J18+J19+J20),2)</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IF(K19="按租金收入计税",ROUND(J6*M19/(1+'数据-取费表'!C42),2),ROUND(C29*M19*0.7,2))</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ROUND(M20*M21/10000,2)</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ROUND(J14*M22,2)</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ROUND(J13*M23,2)</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ROUND(IF(AND(项目基本情况!B11="自然人",项目基本情况!B10="北京市"),C6*F31/(1+'数据-取费表'!C42),C32+C33+C34),2)</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IF(项目基本情况!B11="自然人","——",ROUND(C6*F32/(1+'数据-取费表'!C42),2))</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IF(项目基本情况!B11="自然人","——",ROUND(F34*F35/10000,2))</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ROUND(C29*F36,2)</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ROUND(C13*F37,2)</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ROUND(C5*F38,2)</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ROUND(C40*10000/F43,0)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1">
        <f ca="1">IF(M47="住宅",IF(D1="——",MAX(J51,L48),MAX(J51,L48-'数据-取费表'!B24)),IF(D1="——",MIN(J51,L48),MIN(J51,L48-'数据-取费表'!B24)))</f>
        <v>0</v>
      </c>
      <c r="K53" s="3687" t="s">
        <v>837</v>
      </c>
      <c r="L53" s="3688"/>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29">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ROUND(C68*10000/F71,0)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1"/>
  <sheetViews>
    <sheetView view="pageBreakPreview" zoomScale="80" zoomScaleNormal="60" zoomScaleSheetLayoutView="80" workbookViewId="0">
      <selection activeCell="D116" sqref="D116"/>
    </sheetView>
  </sheetViews>
  <sheetFormatPr defaultColWidth="9" defaultRowHeight="14.25"/>
  <cols>
    <col min="1" max="1" width="14.375" style="354" customWidth="1"/>
    <col min="2" max="2" width="15.875" style="354" customWidth="1"/>
    <col min="3" max="3" width="14.37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1</v>
      </c>
      <c r="C2" s="903"/>
      <c r="D2" s="903"/>
      <c r="E2" s="904"/>
      <c r="F2" s="905"/>
      <c r="G2" s="904"/>
      <c r="H2" s="904"/>
      <c r="I2" s="904"/>
      <c r="J2" s="904"/>
      <c r="K2" s="906"/>
      <c r="L2" s="3472">
        <f>ROUND((1+M15%)*(1+M11%)*(1+M10%)*(1+M9%)*(1+M8%)*(1+M7%)*(1+M6%),4)</f>
        <v>1.0585</v>
      </c>
      <c r="M2" s="3472">
        <f>ROUND((1+M16%)*(1+M15%)*(1+M11%)*(1+M10%)*(1+M9%)*(1+M8%)*(1+M7%)*(1+M6%),4)</f>
        <v>1.0702</v>
      </c>
      <c r="N2" s="3472">
        <f>ROUND((1+M25%)*(1+M24%)*(1+M23%)*(1+M22%)*(1+M21%)*(1+M16%)*(1+M15%)*(1+M11%)*(1+M10%)*(1+M9%)*(1+M8%)*(1+M7%)*(1+M6%),4)</f>
        <v>1.1146</v>
      </c>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10000</v>
      </c>
      <c r="C3" s="200" t="s">
        <v>1869</v>
      </c>
      <c r="D3" s="1189"/>
      <c r="E3" s="904"/>
      <c r="F3" s="905"/>
      <c r="G3" s="904"/>
      <c r="H3" s="904"/>
      <c r="I3" s="904"/>
      <c r="J3" s="904"/>
      <c r="K3" s="906"/>
      <c r="L3" s="3473">
        <f>1/L2</f>
        <v>0.94473311289560702</v>
      </c>
      <c r="M3" s="3473">
        <f t="shared" ref="M3:N3" si="0">1/M2</f>
        <v>0.93440478415249484</v>
      </c>
      <c r="N3" s="3473">
        <f t="shared" si="0"/>
        <v>0.897182845863987</v>
      </c>
      <c r="O3" s="2727"/>
      <c r="P3" s="695"/>
      <c r="Q3" s="695"/>
      <c r="R3" s="695"/>
      <c r="S3" s="695"/>
      <c r="T3" s="695"/>
      <c r="U3" s="695"/>
      <c r="V3" s="695"/>
      <c r="W3" s="695"/>
      <c r="X3" s="695"/>
      <c r="Y3" s="695"/>
      <c r="Z3" s="695"/>
      <c r="AA3" s="695"/>
      <c r="AB3" s="712"/>
      <c r="AC3" s="709"/>
    </row>
    <row r="4" spans="1:30" ht="15">
      <c r="A4" s="352" t="s">
        <v>1769</v>
      </c>
      <c r="B4" s="353"/>
      <c r="C4" s="3710" t="s">
        <v>1770</v>
      </c>
      <c r="D4" s="3711"/>
      <c r="E4" s="3712" t="s">
        <v>1771</v>
      </c>
      <c r="F4" s="3713"/>
      <c r="G4" s="3710" t="s">
        <v>1772</v>
      </c>
      <c r="H4" s="3711"/>
      <c r="I4" s="3710" t="s">
        <v>1773</v>
      </c>
      <c r="J4" s="3711"/>
      <c r="K4" s="556" t="s">
        <v>1774</v>
      </c>
      <c r="L4" s="2707"/>
      <c r="M4" s="2708"/>
      <c r="N4" s="2708"/>
      <c r="O4" s="2708"/>
      <c r="P4" s="3714" t="s">
        <v>1775</v>
      </c>
      <c r="Q4" s="3715"/>
      <c r="R4" s="3697" t="s">
        <v>1771</v>
      </c>
      <c r="S4" s="3698"/>
      <c r="T4" s="3697" t="s">
        <v>1772</v>
      </c>
      <c r="U4" s="3698"/>
      <c r="V4" s="3722" t="s">
        <v>1773</v>
      </c>
      <c r="W4" s="3722"/>
      <c r="X4" s="1351"/>
      <c r="Y4" s="3697" t="s">
        <v>1775</v>
      </c>
      <c r="Z4" s="3698"/>
      <c r="AA4" s="3692" t="s">
        <v>1771</v>
      </c>
      <c r="AB4" s="3693" t="s">
        <v>1772</v>
      </c>
      <c r="AC4" s="3692" t="s">
        <v>1773</v>
      </c>
    </row>
    <row r="5" spans="1:30" ht="66.95" customHeight="1">
      <c r="A5" s="355"/>
      <c r="B5" s="356"/>
      <c r="C5" s="3703" t="s">
        <v>3557</v>
      </c>
      <c r="D5" s="3704"/>
      <c r="E5" s="3701" t="str">
        <f>招拍挂案例!C4</f>
        <v>集体建设用地区级统筹大兴区瀛海镇YZ00-0803-2009、2012A、2012B、2015地块</v>
      </c>
      <c r="F5" s="3702"/>
      <c r="G5" s="3703" t="str">
        <f>招拍挂案例!C5</f>
        <v>集体建设用地区级统筹大兴区瀛海镇YZ00-0803-2003、2004、2005A、2005B、2008地块</v>
      </c>
      <c r="H5" s="3704"/>
      <c r="I5" s="3703" t="str">
        <f>招拍挂案例!C9</f>
        <v>集体建设用地区级统筹大兴区瀛海镇YZ00-0803-2010、2013A、2013B、2014、2016地块</v>
      </c>
      <c r="J5" s="3704"/>
      <c r="K5" s="556"/>
      <c r="L5" s="3470" t="s">
        <v>3555</v>
      </c>
      <c r="M5" s="3467" t="s">
        <v>3548</v>
      </c>
      <c r="N5" s="2708"/>
      <c r="O5" s="2708"/>
      <c r="P5" s="3716"/>
      <c r="Q5" s="3717"/>
      <c r="R5" s="3699"/>
      <c r="S5" s="3700"/>
      <c r="T5" s="3699"/>
      <c r="U5" s="3700"/>
      <c r="V5" s="3722"/>
      <c r="W5" s="3722"/>
      <c r="X5" s="1351"/>
      <c r="Y5" s="3699"/>
      <c r="Z5" s="3700"/>
      <c r="AA5" s="3693"/>
      <c r="AB5" s="3693"/>
      <c r="AC5" s="3693"/>
    </row>
    <row r="6" spans="1:30" ht="15.75" thickBot="1">
      <c r="A6" s="357"/>
      <c r="B6" s="358"/>
      <c r="C6" s="3705"/>
      <c r="D6" s="3706"/>
      <c r="E6" s="3707" t="s">
        <v>3498</v>
      </c>
      <c r="F6" s="3708"/>
      <c r="G6" s="3707" t="s">
        <v>3499</v>
      </c>
      <c r="H6" s="3708"/>
      <c r="I6" s="3723" t="s">
        <v>3500</v>
      </c>
      <c r="J6" s="3724"/>
      <c r="K6" s="556" t="s">
        <v>1678</v>
      </c>
      <c r="L6" s="3467" t="s">
        <v>3367</v>
      </c>
      <c r="M6" s="3471">
        <f>'地价-分区'!G29</f>
        <v>0.38</v>
      </c>
      <c r="N6" s="2708"/>
      <c r="O6" s="2708"/>
      <c r="P6" s="3718"/>
      <c r="Q6" s="3719"/>
      <c r="R6" s="3699"/>
      <c r="S6" s="3700"/>
      <c r="T6" s="3720"/>
      <c r="U6" s="3721"/>
      <c r="V6" s="3722"/>
      <c r="W6" s="3722"/>
      <c r="X6" s="1351"/>
      <c r="Y6" s="3720"/>
      <c r="Z6" s="3721"/>
      <c r="AA6" s="3694"/>
      <c r="AB6" s="3694"/>
      <c r="AC6" s="3694"/>
    </row>
    <row r="7" spans="1:30" s="108" customFormat="1" ht="15.75" thickBot="1">
      <c r="A7" s="359" t="s">
        <v>1679</v>
      </c>
      <c r="B7" s="360"/>
      <c r="C7" s="361">
        <f>'数据-取费表'!B2</f>
        <v>44970</v>
      </c>
      <c r="D7" s="362">
        <v>100</v>
      </c>
      <c r="E7" s="363">
        <f>招拍挂案例!N4</f>
        <v>44237.000497685185</v>
      </c>
      <c r="F7" s="364">
        <f>ROUND(1/L2*100,1)</f>
        <v>94.5</v>
      </c>
      <c r="G7" s="1967">
        <f>招拍挂案例!N5</f>
        <v>44190.000497685185</v>
      </c>
      <c r="H7" s="362">
        <f>ROUND(1/M2*100,1)</f>
        <v>93.4</v>
      </c>
      <c r="I7" s="1967">
        <f>招拍挂案例!N9</f>
        <v>43720.000497685185</v>
      </c>
      <c r="J7" s="362">
        <f>ROUND(1/N2*100,1)</f>
        <v>89.7</v>
      </c>
      <c r="K7" s="557"/>
      <c r="L7" s="3467" t="s">
        <v>3368</v>
      </c>
      <c r="M7" s="3471">
        <v>0.72</v>
      </c>
      <c r="N7" s="2710"/>
      <c r="O7" s="2710"/>
      <c r="P7" s="3695" t="s">
        <v>1680</v>
      </c>
      <c r="Q7" s="3725"/>
      <c r="R7" s="697" t="s">
        <v>14</v>
      </c>
      <c r="S7" s="698">
        <f t="shared" ref="S7:S15" si="1">F7</f>
        <v>94.5</v>
      </c>
      <c r="T7" s="697" t="s">
        <v>14</v>
      </c>
      <c r="U7" s="698">
        <f t="shared" ref="U7:U15" si="2">H7</f>
        <v>93.4</v>
      </c>
      <c r="V7" s="697" t="s">
        <v>14</v>
      </c>
      <c r="W7" s="698">
        <f t="shared" ref="W7:W15" si="3">J7</f>
        <v>89.7</v>
      </c>
      <c r="X7" s="699"/>
      <c r="Y7" s="3695" t="s">
        <v>1680</v>
      </c>
      <c r="Z7" s="3696"/>
      <c r="AA7" s="700">
        <f>D7/F7</f>
        <v>1.0582010582010581</v>
      </c>
      <c r="AB7" s="700">
        <f>D7/H7</f>
        <v>1.070663811563169</v>
      </c>
      <c r="AC7" s="700">
        <f>D7/J7</f>
        <v>1.1148272017837235</v>
      </c>
    </row>
    <row r="8" spans="1:30" s="108" customFormat="1" ht="15.75" thickBot="1">
      <c r="A8" s="359" t="s">
        <v>1681</v>
      </c>
      <c r="B8" s="360"/>
      <c r="C8" s="365" t="s">
        <v>3506</v>
      </c>
      <c r="D8" s="362">
        <v>100</v>
      </c>
      <c r="E8" s="365" t="s">
        <v>3508</v>
      </c>
      <c r="F8" s="364">
        <f>SUMIF(72:72,E8,73:73)-SUMIF(72:72,C8,73:73)+100</f>
        <v>100</v>
      </c>
      <c r="G8" s="365" t="s">
        <v>3508</v>
      </c>
      <c r="H8" s="362">
        <f>SUMIF(72:72,G8,73:73)-SUMIF(72:72,C8,73:73)+100</f>
        <v>100</v>
      </c>
      <c r="I8" s="365" t="s">
        <v>3508</v>
      </c>
      <c r="J8" s="362">
        <f>SUMIF(72:72,I8,73:73)-SUMIF(72:72,C8,73:73)+100</f>
        <v>100</v>
      </c>
      <c r="K8" s="557"/>
      <c r="L8" s="3467" t="s">
        <v>3365</v>
      </c>
      <c r="M8" s="3471">
        <v>1.05</v>
      </c>
      <c r="N8" s="2710"/>
      <c r="O8" s="2710"/>
      <c r="P8" s="3695" t="s">
        <v>1683</v>
      </c>
      <c r="Q8" s="3696"/>
      <c r="R8" s="697" t="s">
        <v>14</v>
      </c>
      <c r="S8" s="698">
        <f t="shared" si="1"/>
        <v>100</v>
      </c>
      <c r="T8" s="697" t="s">
        <v>14</v>
      </c>
      <c r="U8" s="698">
        <f t="shared" si="2"/>
        <v>100</v>
      </c>
      <c r="V8" s="697" t="s">
        <v>14</v>
      </c>
      <c r="W8" s="698">
        <f t="shared" si="3"/>
        <v>100</v>
      </c>
      <c r="X8" s="699"/>
      <c r="Y8" s="3695" t="s">
        <v>1683</v>
      </c>
      <c r="Z8" s="3696"/>
      <c r="AA8" s="700">
        <f t="shared" ref="AA8:AA45" si="4">D8/F8</f>
        <v>1</v>
      </c>
      <c r="AB8" s="700">
        <f t="shared" ref="AB8:AB45" si="5">D8/H8</f>
        <v>1</v>
      </c>
      <c r="AC8" s="700">
        <f t="shared" ref="AC8:AC45" si="6">D8/J8</f>
        <v>1</v>
      </c>
    </row>
    <row r="9" spans="1:30" s="108" customFormat="1" ht="42.75">
      <c r="A9" s="366" t="s">
        <v>1684</v>
      </c>
      <c r="B9" s="63" t="s">
        <v>1685</v>
      </c>
      <c r="C9" s="1970" t="s">
        <v>3502</v>
      </c>
      <c r="D9" s="124">
        <v>100</v>
      </c>
      <c r="E9" s="1970" t="s">
        <v>3502</v>
      </c>
      <c r="F9" s="124">
        <f>SUMIF(74:74,E9,75:75)-SUMIF(74:74,C9,75:75)+100</f>
        <v>100</v>
      </c>
      <c r="G9" s="1970" t="s">
        <v>3502</v>
      </c>
      <c r="H9" s="124">
        <f>SUMIF(74:74,G9,75:75)-SUMIF(74:74,C9,75:75)+100</f>
        <v>100</v>
      </c>
      <c r="I9" s="1970" t="s">
        <v>3502</v>
      </c>
      <c r="J9" s="124">
        <f>SUMIF(74:74,I9,75:75)-SUMIF(74:74,C9,75:75)+100</f>
        <v>100</v>
      </c>
      <c r="K9" s="557"/>
      <c r="L9" s="3467" t="s">
        <v>2838</v>
      </c>
      <c r="M9" s="3471">
        <v>0.96</v>
      </c>
      <c r="N9" s="2710"/>
      <c r="O9" s="2764"/>
      <c r="P9" s="3709" t="s">
        <v>1686</v>
      </c>
      <c r="Q9" s="1339" t="str">
        <f t="shared" ref="Q9:Q15" si="7">B9</f>
        <v>用途</v>
      </c>
      <c r="R9" s="697" t="s">
        <v>14</v>
      </c>
      <c r="S9" s="698">
        <f t="shared" si="1"/>
        <v>100</v>
      </c>
      <c r="T9" s="697" t="s">
        <v>14</v>
      </c>
      <c r="U9" s="698">
        <f t="shared" si="2"/>
        <v>100</v>
      </c>
      <c r="V9" s="697" t="s">
        <v>14</v>
      </c>
      <c r="W9" s="698">
        <f t="shared" si="3"/>
        <v>100</v>
      </c>
      <c r="X9" s="699"/>
      <c r="Y9" s="3660" t="s">
        <v>1687</v>
      </c>
      <c r="Z9" s="52" t="str">
        <f t="shared" ref="Z9:Z15" si="8">Q9</f>
        <v>用途</v>
      </c>
      <c r="AA9" s="700">
        <f t="shared" si="4"/>
        <v>1</v>
      </c>
      <c r="AB9" s="700">
        <f t="shared" si="5"/>
        <v>1</v>
      </c>
      <c r="AC9" s="700">
        <f t="shared" si="6"/>
        <v>1</v>
      </c>
    </row>
    <row r="10" spans="1:30" s="375" customFormat="1" ht="27">
      <c r="A10" s="371"/>
      <c r="B10" s="372" t="s">
        <v>1688</v>
      </c>
      <c r="C10" s="380">
        <v>70</v>
      </c>
      <c r="D10" s="125">
        <v>100</v>
      </c>
      <c r="E10" s="413" t="s">
        <v>3505</v>
      </c>
      <c r="F10" s="125">
        <f>ROUND(100/'数据-取费表'!G16,0)</f>
        <v>100</v>
      </c>
      <c r="G10" s="411" t="s">
        <v>3505</v>
      </c>
      <c r="H10" s="125">
        <f>ROUND(100/'数据-取费表'!G16,0)</f>
        <v>100</v>
      </c>
      <c r="I10" s="411" t="s">
        <v>3505</v>
      </c>
      <c r="J10" s="125">
        <f>ROUND(100/'数据-取费表'!G16,0)</f>
        <v>100</v>
      </c>
      <c r="K10" s="617"/>
      <c r="L10" s="3467" t="s">
        <v>2839</v>
      </c>
      <c r="M10" s="3471">
        <v>1.17</v>
      </c>
      <c r="N10" s="2712"/>
      <c r="O10" s="2765"/>
      <c r="P10" s="3709"/>
      <c r="Q10" s="1339" t="str">
        <f t="shared" si="7"/>
        <v>土地使用年限（年）</v>
      </c>
      <c r="R10" s="697" t="s">
        <v>14</v>
      </c>
      <c r="S10" s="698">
        <f t="shared" si="1"/>
        <v>100</v>
      </c>
      <c r="T10" s="697" t="s">
        <v>14</v>
      </c>
      <c r="U10" s="698">
        <f t="shared" si="2"/>
        <v>100</v>
      </c>
      <c r="V10" s="697" t="s">
        <v>14</v>
      </c>
      <c r="W10" s="698">
        <f t="shared" si="3"/>
        <v>100</v>
      </c>
      <c r="X10" s="699"/>
      <c r="Y10" s="3660"/>
      <c r="Z10" s="52" t="str">
        <f t="shared" si="8"/>
        <v>土地使用年限（年）</v>
      </c>
      <c r="AA10" s="700">
        <f t="shared" si="4"/>
        <v>1</v>
      </c>
      <c r="AB10" s="700">
        <f t="shared" si="5"/>
        <v>1</v>
      </c>
      <c r="AC10" s="700">
        <f t="shared" si="6"/>
        <v>1</v>
      </c>
    </row>
    <row r="11" spans="1:30" ht="15.75" thickBot="1">
      <c r="A11" s="376"/>
      <c r="B11" s="372" t="s">
        <v>1689</v>
      </c>
      <c r="C11" s="377">
        <f>多规!F3</f>
        <v>2.2000000000000002</v>
      </c>
      <c r="D11" s="125">
        <v>100</v>
      </c>
      <c r="E11" s="377">
        <v>2.5</v>
      </c>
      <c r="F11" s="125">
        <f>LOOKUP(E11,79:79,80:80)-LOOKUP(C11,79:79,80:80)+100</f>
        <v>98.5</v>
      </c>
      <c r="G11" s="378">
        <v>2.37</v>
      </c>
      <c r="H11" s="125">
        <f>LOOKUP(G11,79:79,80:80)-LOOKUP(C11,79:79,80:80)+100</f>
        <v>99.5</v>
      </c>
      <c r="I11" s="377">
        <v>2.2599999999999998</v>
      </c>
      <c r="J11" s="125">
        <f>LOOKUP(I11,79:79,80:80)-LOOKUP(C11,79:79,80:80)+100</f>
        <v>100</v>
      </c>
      <c r="K11" s="618">
        <v>0.5</v>
      </c>
      <c r="L11" s="3467" t="s">
        <v>2840</v>
      </c>
      <c r="M11" s="3471">
        <v>0.48</v>
      </c>
      <c r="N11" s="2708"/>
      <c r="O11" s="2766"/>
      <c r="P11" s="3709"/>
      <c r="Q11" s="1339" t="str">
        <f t="shared" si="7"/>
        <v>容积率</v>
      </c>
      <c r="R11" s="697" t="s">
        <v>14</v>
      </c>
      <c r="S11" s="698">
        <f t="shared" si="1"/>
        <v>98.5</v>
      </c>
      <c r="T11" s="697" t="s">
        <v>14</v>
      </c>
      <c r="U11" s="698">
        <f t="shared" si="2"/>
        <v>99.5</v>
      </c>
      <c r="V11" s="697" t="s">
        <v>14</v>
      </c>
      <c r="W11" s="698">
        <f t="shared" si="3"/>
        <v>100</v>
      </c>
      <c r="X11" s="699"/>
      <c r="Y11" s="3660"/>
      <c r="Z11" s="52" t="str">
        <f t="shared" si="8"/>
        <v>容积率</v>
      </c>
      <c r="AA11" s="700">
        <f t="shared" si="4"/>
        <v>1.015228426395939</v>
      </c>
      <c r="AB11" s="700">
        <f t="shared" si="5"/>
        <v>1.0050251256281406</v>
      </c>
      <c r="AC11" s="700">
        <f t="shared" si="6"/>
        <v>1</v>
      </c>
    </row>
    <row r="12" spans="1:30" s="108" customFormat="1" ht="15" hidden="1">
      <c r="A12" s="379"/>
      <c r="B12" s="1888" t="s">
        <v>1870</v>
      </c>
      <c r="C12" s="380"/>
      <c r="D12" s="381">
        <v>100</v>
      </c>
      <c r="E12" s="413"/>
      <c r="F12" s="125">
        <f>SUMIF(81:81,E12,82:82)-SUMIF(81:81,C12,82:82)+100</f>
        <v>100</v>
      </c>
      <c r="G12" s="411"/>
      <c r="H12" s="125">
        <f>SUMIF(81:81,G12,82:82)-SUMIF(81:81,C12,82:82)+100</f>
        <v>100</v>
      </c>
      <c r="I12" s="413"/>
      <c r="J12" s="125">
        <f>SUMIF(81:81,I12,82:82)-SUMIF(81:81,C12,82:82)+100</f>
        <v>100</v>
      </c>
      <c r="K12" s="617"/>
      <c r="L12" s="2198" t="s">
        <v>2841</v>
      </c>
      <c r="M12" s="3471">
        <f>'地价-分区'!G35</f>
        <v>1.1000000000000001</v>
      </c>
      <c r="N12" s="2710"/>
      <c r="O12" s="2764"/>
      <c r="P12" s="3709"/>
      <c r="Q12" s="1339" t="str">
        <f t="shared" si="7"/>
        <v>配建</v>
      </c>
      <c r="R12" s="697" t="s">
        <v>14</v>
      </c>
      <c r="S12" s="698">
        <f t="shared" si="1"/>
        <v>100</v>
      </c>
      <c r="T12" s="697" t="s">
        <v>14</v>
      </c>
      <c r="U12" s="698">
        <f t="shared" si="2"/>
        <v>100</v>
      </c>
      <c r="V12" s="697" t="s">
        <v>14</v>
      </c>
      <c r="W12" s="698">
        <f t="shared" si="3"/>
        <v>100</v>
      </c>
      <c r="X12" s="699"/>
      <c r="Y12" s="3660"/>
      <c r="Z12" s="52" t="str">
        <f t="shared" si="8"/>
        <v>配建</v>
      </c>
      <c r="AA12" s="700">
        <f>D12/F12</f>
        <v>1</v>
      </c>
      <c r="AB12" s="700">
        <f>D12/H12</f>
        <v>1</v>
      </c>
      <c r="AC12" s="700">
        <f>D12/J12</f>
        <v>1</v>
      </c>
    </row>
    <row r="13" spans="1:30" ht="15" hidden="1">
      <c r="A13" s="376"/>
      <c r="B13" s="1888">
        <v>111</v>
      </c>
      <c r="C13" s="382"/>
      <c r="D13" s="383">
        <v>100</v>
      </c>
      <c r="E13" s="495"/>
      <c r="F13" s="125">
        <f>SUMIF(83:83,E13,84:84)-SUMIF(83:83,C13,84:84)+100</f>
        <v>100</v>
      </c>
      <c r="G13" s="619"/>
      <c r="H13" s="383">
        <f>SUMIF(83:83,G13,84:84)-SUMIF(83:83,C13,84:84)+100</f>
        <v>100</v>
      </c>
      <c r="I13" s="619"/>
      <c r="J13" s="383">
        <f>SUMIF(83:83,I13,84:84)-SUMIF(83:83,C13,84:84)+100</f>
        <v>100</v>
      </c>
      <c r="K13" s="617"/>
      <c r="L13" s="3469"/>
      <c r="M13" s="3471">
        <f>'地价-分区'!G36</f>
        <v>0.98</v>
      </c>
      <c r="N13" s="2708"/>
      <c r="O13" s="2766"/>
      <c r="P13" s="3709"/>
      <c r="Q13" s="1339">
        <f t="shared" si="7"/>
        <v>111</v>
      </c>
      <c r="R13" s="697" t="s">
        <v>14</v>
      </c>
      <c r="S13" s="698">
        <f t="shared" si="1"/>
        <v>100</v>
      </c>
      <c r="T13" s="697" t="s">
        <v>14</v>
      </c>
      <c r="U13" s="698">
        <f t="shared" si="2"/>
        <v>100</v>
      </c>
      <c r="V13" s="697" t="s">
        <v>14</v>
      </c>
      <c r="W13" s="698">
        <f t="shared" si="3"/>
        <v>100</v>
      </c>
      <c r="X13" s="699"/>
      <c r="Y13" s="3660"/>
      <c r="Z13" s="52">
        <f t="shared" si="8"/>
        <v>111</v>
      </c>
      <c r="AA13" s="700">
        <f>D13/F13</f>
        <v>1</v>
      </c>
      <c r="AB13" s="700">
        <f>D13/H13</f>
        <v>1</v>
      </c>
      <c r="AC13" s="700">
        <f>D13/J13</f>
        <v>1</v>
      </c>
    </row>
    <row r="14" spans="1:30" ht="15.75" hidden="1" thickBot="1">
      <c r="A14" s="384"/>
      <c r="B14" s="1890">
        <v>111</v>
      </c>
      <c r="C14" s="385"/>
      <c r="D14" s="386">
        <v>100</v>
      </c>
      <c r="E14" s="495"/>
      <c r="F14" s="386">
        <f>SUMIF(85:85,E14,86:86)-SUMIF(85:85,C14,86:86)+100</f>
        <v>100</v>
      </c>
      <c r="G14" s="619"/>
      <c r="H14" s="386">
        <f>SUMIF(85:85,G14,86:86)-SUMIF(85:85,C14,86:86)+100</f>
        <v>100</v>
      </c>
      <c r="I14" s="619"/>
      <c r="J14" s="386">
        <f>SUMIF(85:85,I14,86:86)-SUMIF(85:85,C14,86:86)+100</f>
        <v>100</v>
      </c>
      <c r="K14" s="617"/>
      <c r="L14" s="3469"/>
      <c r="M14" s="3471">
        <f>'地价-分区'!G37</f>
        <v>0</v>
      </c>
      <c r="N14" s="2708"/>
      <c r="O14" s="2766"/>
      <c r="P14" s="3709"/>
      <c r="Q14" s="1339">
        <f t="shared" si="7"/>
        <v>111</v>
      </c>
      <c r="R14" s="697" t="s">
        <v>14</v>
      </c>
      <c r="S14" s="698">
        <f t="shared" si="1"/>
        <v>100</v>
      </c>
      <c r="T14" s="697" t="s">
        <v>14</v>
      </c>
      <c r="U14" s="698">
        <f t="shared" si="2"/>
        <v>100</v>
      </c>
      <c r="V14" s="697" t="s">
        <v>14</v>
      </c>
      <c r="W14" s="698">
        <f t="shared" si="3"/>
        <v>100</v>
      </c>
      <c r="X14" s="699"/>
      <c r="Y14" s="3660"/>
      <c r="Z14" s="52">
        <f t="shared" si="8"/>
        <v>111</v>
      </c>
      <c r="AA14" s="700">
        <f>D14/F14</f>
        <v>1</v>
      </c>
      <c r="AB14" s="700">
        <f>D14/H14</f>
        <v>1</v>
      </c>
      <c r="AC14" s="700">
        <f>D14/J14</f>
        <v>1</v>
      </c>
    </row>
    <row r="15" spans="1:30" ht="48" customHeight="1">
      <c r="A15" s="388" t="s">
        <v>1690</v>
      </c>
      <c r="B15" s="61" t="s">
        <v>1257</v>
      </c>
      <c r="C15" s="1891" t="str">
        <f>估价对象房地状况!C15</f>
        <v>估价对象周边有瀛海家园、永旭家园、兴海园、玉璟园等住宅小区，居住用地比例、居住小区规模和社区发展完善程度，综合评价居住社区成熟度一般</v>
      </c>
      <c r="D15" s="389">
        <v>100</v>
      </c>
      <c r="E15" s="400" t="s">
        <v>3517</v>
      </c>
      <c r="F15" s="389">
        <f>SUMIF(87:87,E16,88:88)-SUMIF(87:87,C16,88:88)+100</f>
        <v>100</v>
      </c>
      <c r="G15" s="400" t="s">
        <v>3517</v>
      </c>
      <c r="H15" s="389">
        <f>SUMIF(87:87,G16,88:88)-SUMIF(87:87,C16,88:88)+100</f>
        <v>100</v>
      </c>
      <c r="I15" s="400" t="s">
        <v>3517</v>
      </c>
      <c r="J15" s="389">
        <f>SUMIF(87:87,I16,88:88)-SUMIF(87:87,C16,88:88)+100</f>
        <v>100</v>
      </c>
      <c r="K15" s="618">
        <v>2</v>
      </c>
      <c r="L15" s="3467" t="s">
        <v>2841</v>
      </c>
      <c r="M15" s="3471">
        <v>0.95</v>
      </c>
      <c r="N15" s="2708"/>
      <c r="O15" s="2766"/>
      <c r="P15" s="3726" t="s">
        <v>1691</v>
      </c>
      <c r="Q15" s="1348" t="str">
        <f t="shared" si="7"/>
        <v>居住社区成熟度</v>
      </c>
      <c r="R15" s="701" t="s">
        <v>14</v>
      </c>
      <c r="S15" s="702">
        <f t="shared" si="1"/>
        <v>100</v>
      </c>
      <c r="T15" s="701" t="s">
        <v>14</v>
      </c>
      <c r="U15" s="702">
        <f t="shared" si="2"/>
        <v>100</v>
      </c>
      <c r="V15" s="701" t="s">
        <v>14</v>
      </c>
      <c r="W15" s="702">
        <f t="shared" si="3"/>
        <v>100</v>
      </c>
      <c r="X15" s="1351"/>
      <c r="Y15" s="3726" t="s">
        <v>1691</v>
      </c>
      <c r="Z15" s="1352" t="str">
        <f t="shared" si="8"/>
        <v>居住社区成熟度</v>
      </c>
      <c r="AA15" s="1349">
        <f t="shared" si="4"/>
        <v>1</v>
      </c>
      <c r="AB15" s="1349">
        <f t="shared" si="5"/>
        <v>1</v>
      </c>
      <c r="AC15" s="1349">
        <f t="shared" si="6"/>
        <v>1</v>
      </c>
    </row>
    <row r="16" spans="1:30" ht="15">
      <c r="A16" s="376"/>
      <c r="B16" s="394"/>
      <c r="C16" s="395" t="s">
        <v>3509</v>
      </c>
      <c r="D16" s="396"/>
      <c r="E16" s="1893" t="s">
        <v>3509</v>
      </c>
      <c r="F16" s="396"/>
      <c r="G16" s="1893" t="s">
        <v>3509</v>
      </c>
      <c r="H16" s="398"/>
      <c r="I16" s="1892" t="s">
        <v>3509</v>
      </c>
      <c r="J16" s="396"/>
      <c r="K16" s="617"/>
      <c r="L16" s="3467" t="s">
        <v>3549</v>
      </c>
      <c r="M16" s="3471">
        <v>1.1100000000000001</v>
      </c>
      <c r="N16" s="2708"/>
      <c r="O16" s="2766"/>
      <c r="P16" s="3727"/>
      <c r="Q16" s="1348"/>
      <c r="R16" s="701"/>
      <c r="S16" s="702"/>
      <c r="T16" s="701"/>
      <c r="U16" s="702"/>
      <c r="V16" s="701"/>
      <c r="W16" s="702"/>
      <c r="X16" s="1351"/>
      <c r="Y16" s="3727"/>
      <c r="Z16" s="1352"/>
      <c r="AA16" s="1349">
        <v>1</v>
      </c>
      <c r="AB16" s="1349">
        <v>1</v>
      </c>
      <c r="AC16" s="1349">
        <v>1</v>
      </c>
    </row>
    <row r="17" spans="1:29" ht="71.25" hidden="1">
      <c r="A17" s="376"/>
      <c r="B17" s="399" t="s">
        <v>1777</v>
      </c>
      <c r="C17" s="1948"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67"/>
      <c r="M17" s="3468">
        <f>'地价-分区'!G40</f>
        <v>0</v>
      </c>
      <c r="N17" s="2708"/>
      <c r="O17" s="2766"/>
      <c r="P17" s="3727"/>
      <c r="Q17" s="1348" t="str">
        <f>B17</f>
        <v>商业繁华度</v>
      </c>
      <c r="R17" s="701" t="s">
        <v>14</v>
      </c>
      <c r="S17" s="702">
        <f>F17</f>
        <v>100</v>
      </c>
      <c r="T17" s="701" t="s">
        <v>14</v>
      </c>
      <c r="U17" s="702">
        <f>H17</f>
        <v>100</v>
      </c>
      <c r="V17" s="701" t="s">
        <v>14</v>
      </c>
      <c r="W17" s="702">
        <f>J17</f>
        <v>100</v>
      </c>
      <c r="X17" s="1351"/>
      <c r="Y17" s="3727"/>
      <c r="Z17" s="1352" t="str">
        <f>Q17</f>
        <v>商业繁华度</v>
      </c>
      <c r="AA17" s="1349">
        <f t="shared" si="4"/>
        <v>1</v>
      </c>
      <c r="AB17" s="1349">
        <f t="shared" si="5"/>
        <v>1</v>
      </c>
      <c r="AC17" s="1349">
        <f t="shared" si="6"/>
        <v>1</v>
      </c>
    </row>
    <row r="18" spans="1:29" ht="15" hidden="1">
      <c r="A18" s="376"/>
      <c r="B18" s="404"/>
      <c r="C18" s="1896"/>
      <c r="D18" s="398"/>
      <c r="E18" s="1898"/>
      <c r="F18" s="398"/>
      <c r="G18" s="1898"/>
      <c r="H18" s="396"/>
      <c r="I18" s="1897"/>
      <c r="J18" s="396"/>
      <c r="K18" s="617"/>
      <c r="L18" s="3467"/>
      <c r="M18" s="3468">
        <f>'地价-分区'!G41</f>
        <v>0</v>
      </c>
      <c r="N18" s="2708"/>
      <c r="O18" s="2766"/>
      <c r="P18" s="3727"/>
      <c r="Q18" s="1348"/>
      <c r="R18" s="701"/>
      <c r="S18" s="702"/>
      <c r="T18" s="701"/>
      <c r="U18" s="702"/>
      <c r="V18" s="701"/>
      <c r="W18" s="702"/>
      <c r="X18" s="1351"/>
      <c r="Y18" s="3727"/>
      <c r="Z18" s="1352"/>
      <c r="AA18" s="1349">
        <v>1</v>
      </c>
      <c r="AB18" s="1349">
        <v>1</v>
      </c>
      <c r="AC18" s="1349">
        <v>1</v>
      </c>
    </row>
    <row r="19" spans="1:29" ht="71.25" hidden="1">
      <c r="A19" s="376"/>
      <c r="B19" s="399" t="s">
        <v>1811</v>
      </c>
      <c r="C19" s="1948"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67"/>
      <c r="M19" s="3468">
        <f>'地价-分区'!G42</f>
        <v>0</v>
      </c>
      <c r="N19" s="2708"/>
      <c r="O19" s="2766"/>
      <c r="P19" s="3727"/>
      <c r="Q19" s="1348" t="str">
        <f>B19</f>
        <v>办公集聚程度</v>
      </c>
      <c r="R19" s="701" t="s">
        <v>14</v>
      </c>
      <c r="S19" s="702">
        <f>F19</f>
        <v>100</v>
      </c>
      <c r="T19" s="701" t="s">
        <v>14</v>
      </c>
      <c r="U19" s="702">
        <f>H19</f>
        <v>100</v>
      </c>
      <c r="V19" s="701" t="s">
        <v>14</v>
      </c>
      <c r="W19" s="702">
        <f>J19</f>
        <v>100</v>
      </c>
      <c r="X19" s="1351"/>
      <c r="Y19" s="3727"/>
      <c r="Z19" s="1352" t="str">
        <f>Q19</f>
        <v>办公集聚程度</v>
      </c>
      <c r="AA19" s="1349">
        <f t="shared" si="4"/>
        <v>1</v>
      </c>
      <c r="AB19" s="1349">
        <f t="shared" si="5"/>
        <v>1</v>
      </c>
      <c r="AC19" s="1349">
        <f t="shared" si="6"/>
        <v>1</v>
      </c>
    </row>
    <row r="20" spans="1:29" ht="15" hidden="1">
      <c r="A20" s="376"/>
      <c r="B20" s="404"/>
      <c r="C20" s="395"/>
      <c r="D20" s="396"/>
      <c r="E20" s="1893"/>
      <c r="F20" s="396"/>
      <c r="G20" s="1893"/>
      <c r="H20" s="396"/>
      <c r="I20" s="1892"/>
      <c r="J20" s="396"/>
      <c r="K20" s="617"/>
      <c r="L20" s="3467"/>
      <c r="M20" s="3468">
        <f>'地价-分区'!G43</f>
        <v>0</v>
      </c>
      <c r="N20" s="2708"/>
      <c r="O20" s="2766"/>
      <c r="P20" s="3727"/>
      <c r="Q20" s="1348"/>
      <c r="R20" s="701"/>
      <c r="S20" s="702"/>
      <c r="T20" s="701"/>
      <c r="U20" s="702"/>
      <c r="V20" s="701"/>
      <c r="W20" s="702"/>
      <c r="X20" s="1351"/>
      <c r="Y20" s="3727"/>
      <c r="Z20" s="1352"/>
      <c r="AA20" s="1349">
        <v>1</v>
      </c>
      <c r="AB20" s="1349">
        <v>1</v>
      </c>
      <c r="AC20" s="1349">
        <v>1</v>
      </c>
    </row>
    <row r="21" spans="1:29" ht="51" customHeight="1">
      <c r="A21" s="376"/>
      <c r="B21" s="399" t="s">
        <v>1833</v>
      </c>
      <c r="C21" s="1895" t="str">
        <f>估价对象房地状况!C18</f>
        <v>估价对象邻近城市高速路-京台高速，附近有兴16路、兴38路、专83路等公交线路，周边道路状况、公共交通通达情况、停车便捷程度，综合评价交通便捷度较好</v>
      </c>
      <c r="D21" s="398">
        <v>100</v>
      </c>
      <c r="E21" s="400" t="s">
        <v>3518</v>
      </c>
      <c r="F21" s="403">
        <f>SUMIF(93:93,E22,94:94)-SUMIF(93:93,C22,94:94)+100</f>
        <v>100</v>
      </c>
      <c r="G21" s="400" t="s">
        <v>3518</v>
      </c>
      <c r="H21" s="398">
        <f>SUMIF(93:93,G22,94:94)-SUMIF(93:93,C22,94:94)+100</f>
        <v>100</v>
      </c>
      <c r="I21" s="400" t="s">
        <v>3518</v>
      </c>
      <c r="J21" s="398">
        <f>SUMIF(93:93,I22,94:94)-SUMIF(93:93,C22,94:94)+100</f>
        <v>100</v>
      </c>
      <c r="K21" s="618">
        <v>2</v>
      </c>
      <c r="L21" s="3467" t="s">
        <v>3550</v>
      </c>
      <c r="M21" s="3468">
        <v>2.35</v>
      </c>
      <c r="N21" s="2708"/>
      <c r="O21" s="2766"/>
      <c r="P21" s="3727"/>
      <c r="Q21" s="1348" t="str">
        <f>B21</f>
        <v>交通便捷度</v>
      </c>
      <c r="R21" s="701" t="s">
        <v>14</v>
      </c>
      <c r="S21" s="702">
        <f>F21</f>
        <v>100</v>
      </c>
      <c r="T21" s="701" t="s">
        <v>14</v>
      </c>
      <c r="U21" s="702">
        <f>H21</f>
        <v>100</v>
      </c>
      <c r="V21" s="701" t="s">
        <v>14</v>
      </c>
      <c r="W21" s="702">
        <f>J21</f>
        <v>100</v>
      </c>
      <c r="X21" s="1351"/>
      <c r="Y21" s="3727"/>
      <c r="Z21" s="1352" t="str">
        <f>Q21</f>
        <v>交通便捷度</v>
      </c>
      <c r="AA21" s="1349">
        <f t="shared" si="4"/>
        <v>1</v>
      </c>
      <c r="AB21" s="1349">
        <f t="shared" si="5"/>
        <v>1</v>
      </c>
      <c r="AC21" s="1349">
        <f t="shared" si="6"/>
        <v>1</v>
      </c>
    </row>
    <row r="22" spans="1:29" ht="15">
      <c r="A22" s="376"/>
      <c r="B22" s="1127"/>
      <c r="C22" s="395" t="s">
        <v>3509</v>
      </c>
      <c r="D22" s="398"/>
      <c r="E22" s="1893" t="s">
        <v>3509</v>
      </c>
      <c r="F22" s="396"/>
      <c r="G22" s="1893" t="s">
        <v>3509</v>
      </c>
      <c r="H22" s="396"/>
      <c r="I22" s="1892" t="s">
        <v>3509</v>
      </c>
      <c r="J22" s="396"/>
      <c r="K22" s="617"/>
      <c r="L22" s="3467" t="s">
        <v>3551</v>
      </c>
      <c r="M22" s="3468">
        <v>0.49</v>
      </c>
      <c r="N22" s="2708"/>
      <c r="O22" s="2766"/>
      <c r="P22" s="3727"/>
      <c r="Q22" s="1348"/>
      <c r="R22" s="701"/>
      <c r="S22" s="702"/>
      <c r="T22" s="701"/>
      <c r="U22" s="702"/>
      <c r="V22" s="701"/>
      <c r="W22" s="702"/>
      <c r="X22" s="1351"/>
      <c r="Y22" s="3727"/>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1</v>
      </c>
      <c r="L23" s="3467" t="s">
        <v>3552</v>
      </c>
      <c r="M23" s="3468">
        <v>0.5</v>
      </c>
      <c r="N23" s="2708"/>
      <c r="O23" s="2766"/>
      <c r="P23" s="3727"/>
      <c r="Q23" s="1348" t="str">
        <f t="shared" ref="Q23:Q37" si="9">B23</f>
        <v>区域土地利用方向</v>
      </c>
      <c r="R23" s="701" t="s">
        <v>14</v>
      </c>
      <c r="S23" s="702">
        <f>F23</f>
        <v>100</v>
      </c>
      <c r="T23" s="701" t="s">
        <v>14</v>
      </c>
      <c r="U23" s="702">
        <f>H23</f>
        <v>100</v>
      </c>
      <c r="V23" s="701" t="s">
        <v>14</v>
      </c>
      <c r="W23" s="702">
        <f>J23</f>
        <v>100</v>
      </c>
      <c r="X23" s="1351"/>
      <c r="Y23" s="3727"/>
      <c r="Z23" s="1352" t="str">
        <f>Q23</f>
        <v>区域土地利用方向</v>
      </c>
      <c r="AA23" s="1349">
        <f t="shared" si="4"/>
        <v>1</v>
      </c>
      <c r="AB23" s="1349">
        <f t="shared" si="5"/>
        <v>1</v>
      </c>
      <c r="AC23" s="1349">
        <f t="shared" si="6"/>
        <v>1</v>
      </c>
    </row>
    <row r="24" spans="1:29" ht="15">
      <c r="A24" s="355"/>
      <c r="B24" s="404"/>
      <c r="C24" s="562" t="s">
        <v>3509</v>
      </c>
      <c r="D24" s="396"/>
      <c r="E24" s="562" t="s">
        <v>3509</v>
      </c>
      <c r="F24" s="396"/>
      <c r="G24" s="562" t="s">
        <v>3509</v>
      </c>
      <c r="H24" s="396"/>
      <c r="I24" s="562" t="s">
        <v>3509</v>
      </c>
      <c r="J24" s="396"/>
      <c r="K24" s="736"/>
      <c r="L24" s="3467" t="s">
        <v>3553</v>
      </c>
      <c r="M24" s="3468">
        <f>地价!K16</f>
        <v>0.21</v>
      </c>
      <c r="N24" s="2708"/>
      <c r="O24" s="2766"/>
      <c r="P24" s="3727"/>
      <c r="Q24" s="1348"/>
      <c r="R24" s="701"/>
      <c r="S24" s="702"/>
      <c r="T24" s="701"/>
      <c r="U24" s="702"/>
      <c r="V24" s="701"/>
      <c r="W24" s="702"/>
      <c r="X24" s="1351"/>
      <c r="Y24" s="3727"/>
      <c r="Z24" s="1352"/>
      <c r="AA24" s="1349"/>
      <c r="AB24" s="1349"/>
      <c r="AC24" s="1349"/>
    </row>
    <row r="25" spans="1:29" ht="54" customHeight="1">
      <c r="A25" s="355"/>
      <c r="B25" s="1127" t="s">
        <v>1872</v>
      </c>
      <c r="C25" s="1948" t="str">
        <f>估价对象房地状况!C20</f>
        <v>周边3公里范围内有南海子公园、志远庄公园等自然景观，人文景观较少，综合评价环境状况一般</v>
      </c>
      <c r="D25" s="398">
        <v>100</v>
      </c>
      <c r="E25" s="400" t="s">
        <v>3510</v>
      </c>
      <c r="F25" s="398">
        <f>SUMIF(97:97,E26,98:98)-SUMIF(97:97,C26,98:98)+100</f>
        <v>100</v>
      </c>
      <c r="G25" s="400" t="s">
        <v>3510</v>
      </c>
      <c r="H25" s="398">
        <f>SUMIF(97:97,G26,98:98)-SUMIF(97:97,C26,98:98)+100</f>
        <v>100</v>
      </c>
      <c r="I25" s="400" t="s">
        <v>3510</v>
      </c>
      <c r="J25" s="398">
        <f>SUMIF(97:97,I26,98:98)-SUMIF(97:97,C26,98:98)+100</f>
        <v>100</v>
      </c>
      <c r="K25" s="618">
        <v>2</v>
      </c>
      <c r="L25" s="3467" t="s">
        <v>2127</v>
      </c>
      <c r="M25" s="3468">
        <f>地价!K17</f>
        <v>0.54</v>
      </c>
      <c r="N25" s="2708"/>
      <c r="O25" s="2766"/>
      <c r="P25" s="3727"/>
      <c r="Q25" s="1348" t="str">
        <f t="shared" si="9"/>
        <v>自然及人文环境状况</v>
      </c>
      <c r="R25" s="701" t="s">
        <v>14</v>
      </c>
      <c r="S25" s="702">
        <f>F25</f>
        <v>100</v>
      </c>
      <c r="T25" s="701" t="s">
        <v>14</v>
      </c>
      <c r="U25" s="702">
        <f>H25</f>
        <v>100</v>
      </c>
      <c r="V25" s="701" t="s">
        <v>14</v>
      </c>
      <c r="W25" s="702">
        <f>J25</f>
        <v>100</v>
      </c>
      <c r="X25" s="1351"/>
      <c r="Y25" s="3727"/>
      <c r="Z25" s="1352" t="str">
        <f>Q25</f>
        <v>自然及人文环境状况</v>
      </c>
      <c r="AA25" s="1349">
        <f t="shared" si="4"/>
        <v>1</v>
      </c>
      <c r="AB25" s="1349">
        <f t="shared" si="5"/>
        <v>1</v>
      </c>
      <c r="AC25" s="1349">
        <f t="shared" si="6"/>
        <v>1</v>
      </c>
    </row>
    <row r="26" spans="1:29" ht="15">
      <c r="A26" s="355"/>
      <c r="B26" s="404"/>
      <c r="C26" s="562" t="s">
        <v>3509</v>
      </c>
      <c r="D26" s="396"/>
      <c r="E26" s="562" t="s">
        <v>3509</v>
      </c>
      <c r="F26" s="396"/>
      <c r="G26" s="562" t="s">
        <v>3509</v>
      </c>
      <c r="H26" s="396"/>
      <c r="I26" s="562" t="s">
        <v>3509</v>
      </c>
      <c r="J26" s="396"/>
      <c r="K26" s="617"/>
      <c r="L26" s="3467" t="s">
        <v>2126</v>
      </c>
      <c r="M26" s="3468">
        <f>地价!K18</f>
        <v>0.6</v>
      </c>
      <c r="N26" s="2708"/>
      <c r="O26" s="2766"/>
      <c r="P26" s="3727"/>
      <c r="Q26" s="1348"/>
      <c r="R26" s="701"/>
      <c r="S26" s="702"/>
      <c r="T26" s="701"/>
      <c r="U26" s="702"/>
      <c r="V26" s="701"/>
      <c r="W26" s="702"/>
      <c r="X26" s="1351"/>
      <c r="Y26" s="3727"/>
      <c r="Z26" s="1352"/>
      <c r="AA26" s="1349">
        <v>1</v>
      </c>
      <c r="AB26" s="1349">
        <v>1</v>
      </c>
      <c r="AC26" s="1349">
        <v>1</v>
      </c>
    </row>
    <row r="27" spans="1:29" s="108" customFormat="1" ht="54.95" customHeight="1">
      <c r="A27" s="594"/>
      <c r="B27" s="1127" t="s">
        <v>1778</v>
      </c>
      <c r="C27" s="1895" t="str">
        <f>估价对象房地状况!C21</f>
        <v>估价对象周边有红星中学、瀛海镇第一中心小学、瀛海一幼幼儿园等教育机构，有肃宁正骨医院医疗设施，有北京农商银行等金融机构，公共配套设施状况一般</v>
      </c>
      <c r="D27" s="398">
        <v>100</v>
      </c>
      <c r="E27" s="400" t="s">
        <v>3519</v>
      </c>
      <c r="F27" s="398">
        <f>SUMIF(99:99,E28,100:100)-SUMIF(99:99,C28,100:100)+100</f>
        <v>100</v>
      </c>
      <c r="G27" s="400" t="s">
        <v>3519</v>
      </c>
      <c r="H27" s="398">
        <f>SUMIF(99:99,G28,100:100)-SUMIF(99:99,C28,100:100)+100</f>
        <v>100</v>
      </c>
      <c r="I27" s="400" t="s">
        <v>3519</v>
      </c>
      <c r="J27" s="398">
        <f>SUMIF(99:99,I28,100:100)-SUMIF(99:99,C28,100:100)+100</f>
        <v>100</v>
      </c>
      <c r="K27" s="618">
        <v>2</v>
      </c>
      <c r="L27" s="3467" t="s">
        <v>3554</v>
      </c>
      <c r="M27" s="3468">
        <f>地价!K19</f>
        <v>1.62</v>
      </c>
      <c r="N27" s="2710"/>
      <c r="O27" s="2764"/>
      <c r="P27" s="3727"/>
      <c r="Q27" s="1339" t="str">
        <f t="shared" si="9"/>
        <v>公共配套设施</v>
      </c>
      <c r="R27" s="697" t="s">
        <v>14</v>
      </c>
      <c r="S27" s="698">
        <f>F27</f>
        <v>100</v>
      </c>
      <c r="T27" s="697" t="s">
        <v>14</v>
      </c>
      <c r="U27" s="698">
        <f>H27</f>
        <v>100</v>
      </c>
      <c r="V27" s="697" t="s">
        <v>14</v>
      </c>
      <c r="W27" s="698">
        <f>J27</f>
        <v>100</v>
      </c>
      <c r="X27" s="699"/>
      <c r="Y27" s="3727"/>
      <c r="Z27" s="52" t="str">
        <f>Q27</f>
        <v>公共配套设施</v>
      </c>
      <c r="AA27" s="1349">
        <f>D27/F27</f>
        <v>1</v>
      </c>
      <c r="AB27" s="1349">
        <f>D27/H27</f>
        <v>1</v>
      </c>
      <c r="AC27" s="1349">
        <f>D27/J27</f>
        <v>1</v>
      </c>
    </row>
    <row r="28" spans="1:29" s="108" customFormat="1" ht="15">
      <c r="A28" s="594"/>
      <c r="B28" s="404"/>
      <c r="C28" s="562" t="s">
        <v>3509</v>
      </c>
      <c r="D28" s="396"/>
      <c r="E28" s="562" t="s">
        <v>3509</v>
      </c>
      <c r="F28" s="396"/>
      <c r="G28" s="562" t="s">
        <v>3509</v>
      </c>
      <c r="H28" s="396"/>
      <c r="I28" s="562" t="s">
        <v>3509</v>
      </c>
      <c r="J28" s="396"/>
      <c r="K28" s="617"/>
      <c r="L28" s="3467" t="s">
        <v>2123</v>
      </c>
      <c r="M28" s="3468">
        <f>地价!K20</f>
        <v>0.63</v>
      </c>
      <c r="N28" s="2710"/>
      <c r="O28" s="2764"/>
      <c r="P28" s="3727"/>
      <c r="Q28" s="1339"/>
      <c r="R28" s="697"/>
      <c r="S28" s="698"/>
      <c r="T28" s="697"/>
      <c r="U28" s="698"/>
      <c r="V28" s="697"/>
      <c r="W28" s="698"/>
      <c r="X28" s="699"/>
      <c r="Y28" s="3727"/>
      <c r="Z28" s="52"/>
      <c r="AA28" s="1349">
        <v>1</v>
      </c>
      <c r="AB28" s="1349">
        <v>1</v>
      </c>
      <c r="AC28" s="1349">
        <v>1</v>
      </c>
    </row>
    <row r="29" spans="1:29" s="108" customFormat="1" ht="42.75">
      <c r="A29" s="594"/>
      <c r="B29" s="1127" t="s">
        <v>1779</v>
      </c>
      <c r="C29" s="1895" t="str">
        <f>估价对象房地状况!C22</f>
        <v>估价对象所在区域基础设施水平-六通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64"/>
      <c r="M29" s="2710"/>
      <c r="N29" s="2710"/>
      <c r="O29" s="2764"/>
      <c r="P29" s="3727"/>
      <c r="Q29" s="1339" t="str">
        <f t="shared" ref="Q29" si="10">B29</f>
        <v>基础设施水平</v>
      </c>
      <c r="R29" s="697" t="s">
        <v>14</v>
      </c>
      <c r="S29" s="698">
        <f>F29</f>
        <v>100</v>
      </c>
      <c r="T29" s="697" t="s">
        <v>14</v>
      </c>
      <c r="U29" s="698">
        <f>H29</f>
        <v>100</v>
      </c>
      <c r="V29" s="697" t="s">
        <v>14</v>
      </c>
      <c r="W29" s="698">
        <f>J29</f>
        <v>100</v>
      </c>
      <c r="X29" s="699"/>
      <c r="Y29" s="3727"/>
      <c r="Z29" s="52" t="str">
        <f>Q29</f>
        <v>基础设施水平</v>
      </c>
      <c r="AA29" s="1349">
        <f>D29/F29</f>
        <v>1</v>
      </c>
      <c r="AB29" s="1349">
        <f>D29/H29</f>
        <v>1</v>
      </c>
      <c r="AC29" s="1349">
        <f>D29/J29</f>
        <v>1</v>
      </c>
    </row>
    <row r="30" spans="1:29" s="108" customFormat="1" ht="15">
      <c r="A30" s="594"/>
      <c r="B30" s="404"/>
      <c r="C30" s="1971" t="s">
        <v>3542</v>
      </c>
      <c r="D30" s="396"/>
      <c r="E30" s="1972" t="s">
        <v>3542</v>
      </c>
      <c r="F30" s="396"/>
      <c r="G30" s="1972" t="s">
        <v>3542</v>
      </c>
      <c r="H30" s="396"/>
      <c r="I30" s="1972" t="s">
        <v>3542</v>
      </c>
      <c r="J30" s="396"/>
      <c r="K30" s="617"/>
      <c r="L30" s="3464"/>
      <c r="M30" s="2710"/>
      <c r="N30" s="2710"/>
      <c r="O30" s="2764"/>
      <c r="P30" s="3727"/>
      <c r="Q30" s="1339"/>
      <c r="R30" s="697"/>
      <c r="S30" s="698"/>
      <c r="T30" s="697"/>
      <c r="U30" s="698"/>
      <c r="V30" s="697"/>
      <c r="W30" s="698"/>
      <c r="X30" s="699"/>
      <c r="Y30" s="3727"/>
      <c r="Z30" s="52"/>
      <c r="AA30" s="1349">
        <v>1</v>
      </c>
      <c r="AB30" s="1349">
        <v>1</v>
      </c>
      <c r="AC30" s="1349">
        <v>1</v>
      </c>
    </row>
    <row r="31" spans="1:29" ht="15">
      <c r="A31" s="376"/>
      <c r="B31" s="404" t="s">
        <v>1780</v>
      </c>
      <c r="C31" s="562" t="s">
        <v>3543</v>
      </c>
      <c r="D31" s="383">
        <v>100</v>
      </c>
      <c r="E31" s="579" t="s">
        <v>3543</v>
      </c>
      <c r="F31" s="383">
        <f>SUMIF(103:103,E31,104:104)-SUMIF(103:103,C31,104:104)+100</f>
        <v>100</v>
      </c>
      <c r="G31" s="579" t="s">
        <v>3543</v>
      </c>
      <c r="H31" s="383">
        <f>SUMIF(103:103,G31,104:104)-SUMIF(103:103,C31,104:104)+100</f>
        <v>100</v>
      </c>
      <c r="I31" s="579" t="s">
        <v>3543</v>
      </c>
      <c r="J31" s="383">
        <f>SUMIF(103:103,I31,104:104)-SUMIF(103:103,C31,104:104)+100</f>
        <v>100</v>
      </c>
      <c r="K31" s="618"/>
      <c r="L31" s="3463"/>
      <c r="M31" s="2708"/>
      <c r="N31" s="2708"/>
      <c r="O31" s="2766"/>
      <c r="P31" s="3727"/>
      <c r="Q31" s="1348" t="str">
        <f t="shared" si="9"/>
        <v>临街状况</v>
      </c>
      <c r="R31" s="701" t="s">
        <v>14</v>
      </c>
      <c r="S31" s="702">
        <f t="shared" ref="S31:S45" si="11">F31</f>
        <v>100</v>
      </c>
      <c r="T31" s="701" t="s">
        <v>14</v>
      </c>
      <c r="U31" s="702">
        <f t="shared" ref="U31:U45" si="12">H31</f>
        <v>100</v>
      </c>
      <c r="V31" s="701" t="s">
        <v>14</v>
      </c>
      <c r="W31" s="702">
        <f t="shared" ref="W31:W45" si="13">J31</f>
        <v>100</v>
      </c>
      <c r="X31" s="1351"/>
      <c r="Y31" s="3727"/>
      <c r="Z31" s="1352" t="str">
        <f t="shared" ref="Z31:Z45" si="14">Q31</f>
        <v>临街状况</v>
      </c>
      <c r="AA31" s="1349">
        <f t="shared" si="4"/>
        <v>1</v>
      </c>
      <c r="AB31" s="1349">
        <f t="shared" si="5"/>
        <v>1</v>
      </c>
      <c r="AC31" s="1349">
        <f t="shared" si="6"/>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63"/>
      <c r="M32" s="2708"/>
      <c r="N32" s="2708"/>
      <c r="O32" s="2766"/>
      <c r="P32" s="3727"/>
      <c r="Q32" s="1348" t="str">
        <f t="shared" si="9"/>
        <v>毗邻道路的类型与等级</v>
      </c>
      <c r="R32" s="701" t="s">
        <v>14</v>
      </c>
      <c r="S32" s="702">
        <f t="shared" si="11"/>
        <v>100</v>
      </c>
      <c r="T32" s="701" t="s">
        <v>14</v>
      </c>
      <c r="U32" s="702">
        <f t="shared" si="12"/>
        <v>100</v>
      </c>
      <c r="V32" s="701" t="s">
        <v>14</v>
      </c>
      <c r="W32" s="702">
        <f t="shared" si="13"/>
        <v>100</v>
      </c>
      <c r="X32" s="1351"/>
      <c r="Y32" s="3727"/>
      <c r="Z32" s="1352" t="str">
        <f t="shared" si="14"/>
        <v>毗邻道路的类型与等级</v>
      </c>
      <c r="AA32" s="1349">
        <f t="shared" si="4"/>
        <v>1</v>
      </c>
      <c r="AB32" s="1349">
        <f t="shared" si="5"/>
        <v>1</v>
      </c>
      <c r="AC32" s="1349">
        <f t="shared" si="6"/>
        <v>1</v>
      </c>
    </row>
    <row r="33" spans="1:29" ht="15" hidden="1">
      <c r="A33" s="376"/>
      <c r="B33" s="404"/>
      <c r="C33" s="395"/>
      <c r="D33" s="396"/>
      <c r="E33" s="1899"/>
      <c r="F33" s="396"/>
      <c r="G33" s="1899"/>
      <c r="H33" s="396"/>
      <c r="I33" s="395"/>
      <c r="J33" s="396"/>
      <c r="K33" s="559"/>
      <c r="L33" s="3463"/>
      <c r="M33" s="2708"/>
      <c r="N33" s="2708"/>
      <c r="O33" s="2766"/>
      <c r="P33" s="3727"/>
      <c r="Q33" s="1348"/>
      <c r="R33" s="701"/>
      <c r="S33" s="702"/>
      <c r="T33" s="701"/>
      <c r="U33" s="702"/>
      <c r="V33" s="701"/>
      <c r="W33" s="702"/>
      <c r="X33" s="1351"/>
      <c r="Y33" s="3727"/>
      <c r="Z33" s="1352"/>
      <c r="AA33" s="1349">
        <v>1</v>
      </c>
      <c r="AB33" s="1349">
        <v>1</v>
      </c>
      <c r="AC33" s="1349">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63"/>
      <c r="M34" s="2708"/>
      <c r="N34" s="2708"/>
      <c r="O34" s="2766"/>
      <c r="P34" s="3727"/>
      <c r="Q34" s="1348" t="str">
        <f t="shared" si="9"/>
        <v>土地级别</v>
      </c>
      <c r="R34" s="701" t="s">
        <v>14</v>
      </c>
      <c r="S34" s="702">
        <f t="shared" si="11"/>
        <v>100</v>
      </c>
      <c r="T34" s="701" t="s">
        <v>14</v>
      </c>
      <c r="U34" s="702">
        <f t="shared" si="12"/>
        <v>100</v>
      </c>
      <c r="V34" s="701" t="s">
        <v>14</v>
      </c>
      <c r="W34" s="702">
        <f t="shared" si="13"/>
        <v>100</v>
      </c>
      <c r="X34" s="1351"/>
      <c r="Y34" s="3727"/>
      <c r="Z34" s="1352" t="str">
        <f t="shared" si="14"/>
        <v>土地级别</v>
      </c>
      <c r="AA34" s="1349">
        <f t="shared" si="4"/>
        <v>1</v>
      </c>
      <c r="AB34" s="1349">
        <f t="shared" si="5"/>
        <v>1</v>
      </c>
      <c r="AC34" s="1349">
        <f t="shared" si="6"/>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63"/>
      <c r="M35" s="2708"/>
      <c r="N35" s="2708"/>
      <c r="O35" s="2766"/>
      <c r="P35" s="3727"/>
      <c r="Q35" s="1348">
        <f t="shared" si="9"/>
        <v>111</v>
      </c>
      <c r="R35" s="701" t="s">
        <v>14</v>
      </c>
      <c r="S35" s="702">
        <f t="shared" si="11"/>
        <v>100</v>
      </c>
      <c r="T35" s="701" t="s">
        <v>14</v>
      </c>
      <c r="U35" s="702">
        <f t="shared" si="12"/>
        <v>100</v>
      </c>
      <c r="V35" s="701" t="s">
        <v>14</v>
      </c>
      <c r="W35" s="702">
        <f t="shared" si="13"/>
        <v>100</v>
      </c>
      <c r="X35" s="1351"/>
      <c r="Y35" s="3727"/>
      <c r="Z35" s="1352">
        <f t="shared" si="14"/>
        <v>111</v>
      </c>
      <c r="AA35" s="1349">
        <f t="shared" si="4"/>
        <v>1</v>
      </c>
      <c r="AB35" s="1349">
        <f t="shared" si="5"/>
        <v>1</v>
      </c>
      <c r="AC35" s="1349">
        <f t="shared" si="6"/>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63"/>
      <c r="M36" s="2708"/>
      <c r="N36" s="2708"/>
      <c r="O36" s="2766"/>
      <c r="P36" s="3728" t="s">
        <v>1696</v>
      </c>
      <c r="Q36" s="1348">
        <f t="shared" si="9"/>
        <v>111</v>
      </c>
      <c r="R36" s="701" t="s">
        <v>14</v>
      </c>
      <c r="S36" s="702">
        <f t="shared" si="11"/>
        <v>100</v>
      </c>
      <c r="T36" s="701" t="s">
        <v>14</v>
      </c>
      <c r="U36" s="702">
        <f t="shared" si="12"/>
        <v>100</v>
      </c>
      <c r="V36" s="701" t="s">
        <v>14</v>
      </c>
      <c r="W36" s="702">
        <f t="shared" si="13"/>
        <v>100</v>
      </c>
      <c r="X36" s="1351"/>
      <c r="Y36" s="3729" t="s">
        <v>1696</v>
      </c>
      <c r="Z36" s="1352">
        <f t="shared" si="14"/>
        <v>111</v>
      </c>
      <c r="AA36" s="1349">
        <f t="shared" si="4"/>
        <v>1</v>
      </c>
      <c r="AB36" s="1349">
        <f t="shared" si="5"/>
        <v>1</v>
      </c>
      <c r="AC36" s="1349">
        <f t="shared" si="6"/>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65"/>
      <c r="M37" s="2715"/>
      <c r="N37" s="2715"/>
      <c r="O37" s="2767"/>
      <c r="P37" s="3729"/>
      <c r="Q37" s="1348">
        <f t="shared" si="9"/>
        <v>111</v>
      </c>
      <c r="R37" s="704" t="s">
        <v>14</v>
      </c>
      <c r="S37" s="705">
        <f t="shared" si="11"/>
        <v>100</v>
      </c>
      <c r="T37" s="704" t="s">
        <v>14</v>
      </c>
      <c r="U37" s="705">
        <f t="shared" si="12"/>
        <v>100</v>
      </c>
      <c r="V37" s="704" t="s">
        <v>14</v>
      </c>
      <c r="W37" s="705">
        <f t="shared" si="13"/>
        <v>100</v>
      </c>
      <c r="X37" s="706"/>
      <c r="Y37" s="3729"/>
      <c r="Z37" s="707">
        <f t="shared" si="14"/>
        <v>111</v>
      </c>
      <c r="AA37" s="1349">
        <f t="shared" si="4"/>
        <v>1</v>
      </c>
      <c r="AB37" s="1349">
        <f t="shared" si="5"/>
        <v>1</v>
      </c>
      <c r="AC37" s="1349">
        <f t="shared" si="6"/>
        <v>1</v>
      </c>
    </row>
    <row r="38" spans="1:29" ht="15">
      <c r="A38" s="420" t="s">
        <v>1694</v>
      </c>
      <c r="B38" s="404" t="s">
        <v>1874</v>
      </c>
      <c r="C38" s="624">
        <f>多规!E8*10000</f>
        <v>145200</v>
      </c>
      <c r="D38" s="415">
        <v>100</v>
      </c>
      <c r="E38" s="624">
        <f>招拍挂案例!F4</f>
        <v>41000.75</v>
      </c>
      <c r="F38" s="415">
        <f>LOOKUP(E38,116:116,117:117)-LOOKUP(C38,116:116,117:117)+100</f>
        <v>104</v>
      </c>
      <c r="G38" s="624">
        <f>招拍挂案例!F5</f>
        <v>62136.68</v>
      </c>
      <c r="H38" s="415">
        <f>LOOKUP(G38,116:116,117:117)-LOOKUP(C38,116:116,117:117)+100</f>
        <v>102</v>
      </c>
      <c r="I38" s="476">
        <f>招拍挂案例!$F$9</f>
        <v>47891.78</v>
      </c>
      <c r="J38" s="415">
        <f>LOOKUP(I38,116:116,117:117)-LOOKUP(C38,116:116,117:117)+100</f>
        <v>104</v>
      </c>
      <c r="K38" s="559"/>
      <c r="L38" s="3463"/>
      <c r="M38" s="2708"/>
      <c r="N38" s="2708"/>
      <c r="O38" s="2766"/>
      <c r="P38" s="3729"/>
      <c r="Q38" s="1348" t="str">
        <f>B38</f>
        <v>宗地面积</v>
      </c>
      <c r="R38" s="701" t="s">
        <v>14</v>
      </c>
      <c r="S38" s="702">
        <f t="shared" si="11"/>
        <v>104</v>
      </c>
      <c r="T38" s="701" t="s">
        <v>14</v>
      </c>
      <c r="U38" s="702">
        <f t="shared" si="12"/>
        <v>102</v>
      </c>
      <c r="V38" s="701" t="s">
        <v>14</v>
      </c>
      <c r="W38" s="702">
        <f t="shared" si="13"/>
        <v>104</v>
      </c>
      <c r="X38" s="1351"/>
      <c r="Y38" s="3729"/>
      <c r="Z38" s="1352" t="str">
        <f t="shared" si="14"/>
        <v>宗地面积</v>
      </c>
      <c r="AA38" s="1349">
        <f t="shared" si="4"/>
        <v>0.96153846153846156</v>
      </c>
      <c r="AB38" s="1349">
        <f t="shared" si="5"/>
        <v>0.98039215686274506</v>
      </c>
      <c r="AC38" s="1349">
        <f t="shared" si="6"/>
        <v>0.96153846153846156</v>
      </c>
    </row>
    <row r="39" spans="1:29" ht="15">
      <c r="A39" s="420"/>
      <c r="B39" s="372" t="s">
        <v>1875</v>
      </c>
      <c r="C39" s="1901" t="s">
        <v>3544</v>
      </c>
      <c r="D39" s="383">
        <v>100</v>
      </c>
      <c r="E39" s="1901" t="s">
        <v>3544</v>
      </c>
      <c r="F39" s="383">
        <f>SUMIF(118:118,E39,119:119)-SUMIF(118:118,C39,119:119)+100</f>
        <v>100</v>
      </c>
      <c r="G39" s="1901" t="s">
        <v>3544</v>
      </c>
      <c r="H39" s="383">
        <f>SUMIF(118:118,G39,119:119)-SUMIF(118:118,C39,119:119)+100</f>
        <v>100</v>
      </c>
      <c r="I39" s="1901" t="s">
        <v>3544</v>
      </c>
      <c r="J39" s="383">
        <f>SUMIF(118:118,I39,119:119)-SUMIF(118:118,C39,119:119)+100</f>
        <v>100</v>
      </c>
      <c r="K39" s="558"/>
      <c r="L39" s="3463"/>
      <c r="M39" s="2708"/>
      <c r="N39" s="2708"/>
      <c r="O39" s="2766"/>
      <c r="P39" s="3729"/>
      <c r="Q39" s="1348" t="str">
        <f t="shared" ref="Q39:Q45" si="15">B39</f>
        <v>宗地形状</v>
      </c>
      <c r="R39" s="701" t="s">
        <v>14</v>
      </c>
      <c r="S39" s="702">
        <f t="shared" si="11"/>
        <v>100</v>
      </c>
      <c r="T39" s="701" t="s">
        <v>14</v>
      </c>
      <c r="U39" s="702">
        <f t="shared" si="12"/>
        <v>100</v>
      </c>
      <c r="V39" s="701" t="s">
        <v>14</v>
      </c>
      <c r="W39" s="702">
        <f t="shared" si="13"/>
        <v>100</v>
      </c>
      <c r="X39" s="1351"/>
      <c r="Y39" s="3729"/>
      <c r="Z39" s="1352" t="str">
        <f t="shared" si="14"/>
        <v>宗地形状</v>
      </c>
      <c r="AA39" s="1349">
        <f t="shared" si="4"/>
        <v>1</v>
      </c>
      <c r="AB39" s="1349">
        <f t="shared" si="5"/>
        <v>1</v>
      </c>
      <c r="AC39" s="1349">
        <f t="shared" si="6"/>
        <v>1</v>
      </c>
    </row>
    <row r="40" spans="1:29" ht="15" hidden="1">
      <c r="A40" s="420"/>
      <c r="B40" s="372" t="s">
        <v>1876</v>
      </c>
      <c r="C40" s="1901"/>
      <c r="D40" s="383">
        <v>100</v>
      </c>
      <c r="E40" s="1901"/>
      <c r="F40" s="383">
        <f>SUMIF(120:120,E40,121:121)-SUMIF(120:120,C40,121:121)+100</f>
        <v>100</v>
      </c>
      <c r="G40" s="1901"/>
      <c r="H40" s="383">
        <f>SUMIF(120:120,G40,121:121)-SUMIF(120:120,C40,121:121)+100</f>
        <v>100</v>
      </c>
      <c r="I40" s="1901"/>
      <c r="J40" s="383">
        <f>SUMIF(120:120,I40,121:121)-SUMIF(120:120,C40,121:121)+100</f>
        <v>100</v>
      </c>
      <c r="K40" s="558"/>
      <c r="L40" s="3463"/>
      <c r="M40" s="2708"/>
      <c r="N40" s="2708"/>
      <c r="O40" s="2766"/>
      <c r="P40" s="3729"/>
      <c r="Q40" s="1348" t="str">
        <f t="shared" si="15"/>
        <v>临街宽度及深度</v>
      </c>
      <c r="R40" s="701" t="s">
        <v>14</v>
      </c>
      <c r="S40" s="702">
        <f t="shared" si="11"/>
        <v>100</v>
      </c>
      <c r="T40" s="701" t="s">
        <v>14</v>
      </c>
      <c r="U40" s="702">
        <f t="shared" si="12"/>
        <v>100</v>
      </c>
      <c r="V40" s="701" t="s">
        <v>14</v>
      </c>
      <c r="W40" s="702">
        <f t="shared" si="13"/>
        <v>100</v>
      </c>
      <c r="X40" s="1351"/>
      <c r="Y40" s="3729"/>
      <c r="Z40" s="1352" t="str">
        <f t="shared" si="14"/>
        <v>临街宽度及深度</v>
      </c>
      <c r="AA40" s="1349">
        <f t="shared" si="4"/>
        <v>1</v>
      </c>
      <c r="AB40" s="1349">
        <f t="shared" si="5"/>
        <v>1</v>
      </c>
      <c r="AC40" s="1349">
        <f t="shared" si="6"/>
        <v>1</v>
      </c>
    </row>
    <row r="41" spans="1:29" s="108" customFormat="1" ht="15" hidden="1">
      <c r="A41" s="421"/>
      <c r="B41" s="372" t="s">
        <v>1877</v>
      </c>
      <c r="C41" s="1973"/>
      <c r="D41" s="125">
        <v>100</v>
      </c>
      <c r="E41" s="1973"/>
      <c r="F41" s="383">
        <f>SUMIF(122:122,E41,123:123)-SUMIF(122:122,C41,123:123)+100</f>
        <v>100</v>
      </c>
      <c r="G41" s="1973"/>
      <c r="H41" s="383">
        <f>SUMIF(122:122,G41,123:123)-SUMIF(122:122,C41,123:123)+100</f>
        <v>100</v>
      </c>
      <c r="I41" s="1973"/>
      <c r="J41" s="383">
        <f>SUMIF(122:122,I41,123:123)-SUMIF(122:122,C41,123:123)+100</f>
        <v>100</v>
      </c>
      <c r="K41" s="558"/>
      <c r="L41" s="3464"/>
      <c r="M41" s="2710"/>
      <c r="N41" s="2710"/>
      <c r="O41" s="2764"/>
      <c r="P41" s="3729"/>
      <c r="Q41" s="1348" t="str">
        <f t="shared" si="15"/>
        <v>宗地开发程度</v>
      </c>
      <c r="R41" s="697" t="s">
        <v>14</v>
      </c>
      <c r="S41" s="698">
        <f t="shared" si="11"/>
        <v>100</v>
      </c>
      <c r="T41" s="697" t="s">
        <v>14</v>
      </c>
      <c r="U41" s="698">
        <f t="shared" si="12"/>
        <v>100</v>
      </c>
      <c r="V41" s="697" t="s">
        <v>14</v>
      </c>
      <c r="W41" s="698">
        <f t="shared" si="13"/>
        <v>100</v>
      </c>
      <c r="X41" s="699"/>
      <c r="Y41" s="3729"/>
      <c r="Z41" s="52" t="str">
        <f t="shared" si="14"/>
        <v>宗地开发程度</v>
      </c>
      <c r="AA41" s="700">
        <f t="shared" si="4"/>
        <v>1</v>
      </c>
      <c r="AB41" s="700">
        <f t="shared" si="5"/>
        <v>1</v>
      </c>
      <c r="AC41" s="700">
        <f t="shared" si="6"/>
        <v>1</v>
      </c>
    </row>
    <row r="42" spans="1:29" ht="15">
      <c r="A42" s="420"/>
      <c r="B42" s="372" t="s">
        <v>1878</v>
      </c>
      <c r="C42" s="1901" t="s">
        <v>3546</v>
      </c>
      <c r="D42" s="383">
        <v>100</v>
      </c>
      <c r="E42" s="1901" t="s">
        <v>3546</v>
      </c>
      <c r="F42" s="383">
        <f>SUMIF(124:124,E42,125:125)-SUMIF(124:124,C42,125:125)+100</f>
        <v>100</v>
      </c>
      <c r="G42" s="1901" t="s">
        <v>3546</v>
      </c>
      <c r="H42" s="383">
        <f>SUMIF(124:124,G42,125:125)-SUMIF(124:124,C42,125:125)+100</f>
        <v>100</v>
      </c>
      <c r="I42" s="1901" t="s">
        <v>3546</v>
      </c>
      <c r="J42" s="383">
        <f>SUMIF(124:124,I42,125:125)-SUMIF(124:124,C42,125:125)+100</f>
        <v>100</v>
      </c>
      <c r="K42" s="558"/>
      <c r="L42" s="3463"/>
      <c r="M42" s="2708"/>
      <c r="N42" s="2708"/>
      <c r="O42" s="2766"/>
      <c r="P42" s="3729" t="s">
        <v>1696</v>
      </c>
      <c r="Q42" s="1348" t="str">
        <f t="shared" si="15"/>
        <v>工程地质条件</v>
      </c>
      <c r="R42" s="701" t="s">
        <v>14</v>
      </c>
      <c r="S42" s="702">
        <f t="shared" si="11"/>
        <v>100</v>
      </c>
      <c r="T42" s="701" t="s">
        <v>14</v>
      </c>
      <c r="U42" s="702">
        <f t="shared" si="12"/>
        <v>100</v>
      </c>
      <c r="V42" s="701" t="s">
        <v>14</v>
      </c>
      <c r="W42" s="702">
        <f t="shared" si="13"/>
        <v>100</v>
      </c>
      <c r="X42" s="1351"/>
      <c r="Y42" s="3729" t="s">
        <v>1696</v>
      </c>
      <c r="Z42" s="1352" t="str">
        <f t="shared" si="14"/>
        <v>工程地质条件</v>
      </c>
      <c r="AA42" s="1349">
        <f t="shared" si="4"/>
        <v>1</v>
      </c>
      <c r="AB42" s="1349">
        <f t="shared" si="5"/>
        <v>1</v>
      </c>
      <c r="AC42" s="1349">
        <f t="shared" si="6"/>
        <v>1</v>
      </c>
    </row>
    <row r="43" spans="1:29" ht="15">
      <c r="A43" s="420"/>
      <c r="B43" s="1130" t="s">
        <v>3545</v>
      </c>
      <c r="C43" s="619" t="s">
        <v>3547</v>
      </c>
      <c r="D43" s="383">
        <v>100</v>
      </c>
      <c r="E43" s="619" t="s">
        <v>3547</v>
      </c>
      <c r="F43" s="383">
        <f>SUMIF(126:126,E43,127:127)-SUMIF(126:126,C43,127:127)+100</f>
        <v>100</v>
      </c>
      <c r="G43" s="619" t="s">
        <v>3547</v>
      </c>
      <c r="H43" s="383">
        <f>SUMIF(126:126,G43,127:127)-SUMIF(126:126,C43,127:127)+100</f>
        <v>100</v>
      </c>
      <c r="I43" s="619" t="s">
        <v>3547</v>
      </c>
      <c r="J43" s="383">
        <f>SUMIF(126:126,I43,127:127)-SUMIF(126:126,C43,127:127)+100</f>
        <v>100</v>
      </c>
      <c r="K43" s="559"/>
      <c r="L43" s="3463"/>
      <c r="M43" s="2708"/>
      <c r="N43" s="2708"/>
      <c r="O43" s="2766"/>
      <c r="P43" s="3729"/>
      <c r="Q43" s="1348" t="str">
        <f t="shared" si="15"/>
        <v>宗地规划限制</v>
      </c>
      <c r="R43" s="701" t="s">
        <v>14</v>
      </c>
      <c r="S43" s="702">
        <f t="shared" si="11"/>
        <v>100</v>
      </c>
      <c r="T43" s="701" t="s">
        <v>14</v>
      </c>
      <c r="U43" s="702">
        <f t="shared" si="12"/>
        <v>100</v>
      </c>
      <c r="V43" s="701" t="s">
        <v>14</v>
      </c>
      <c r="W43" s="702">
        <f t="shared" si="13"/>
        <v>100</v>
      </c>
      <c r="X43" s="1351"/>
      <c r="Y43" s="3729"/>
      <c r="Z43" s="1352" t="str">
        <f t="shared" si="14"/>
        <v>宗地规划限制</v>
      </c>
      <c r="AA43" s="1349">
        <f t="shared" si="4"/>
        <v>1</v>
      </c>
      <c r="AB43" s="1349">
        <f t="shared" si="5"/>
        <v>1</v>
      </c>
      <c r="AC43" s="1349">
        <f t="shared" si="6"/>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63"/>
      <c r="M44" s="2708"/>
      <c r="N44" s="2708"/>
      <c r="O44" s="2766"/>
      <c r="P44" s="3729"/>
      <c r="Q44" s="1348">
        <f t="shared" si="15"/>
        <v>111</v>
      </c>
      <c r="R44" s="701" t="s">
        <v>14</v>
      </c>
      <c r="S44" s="702">
        <f t="shared" si="11"/>
        <v>100</v>
      </c>
      <c r="T44" s="701" t="s">
        <v>14</v>
      </c>
      <c r="U44" s="702">
        <f t="shared" si="12"/>
        <v>100</v>
      </c>
      <c r="V44" s="701" t="s">
        <v>14</v>
      </c>
      <c r="W44" s="702">
        <f t="shared" si="13"/>
        <v>100</v>
      </c>
      <c r="X44" s="1351"/>
      <c r="Y44" s="3729"/>
      <c r="Z44" s="1352">
        <f t="shared" si="14"/>
        <v>111</v>
      </c>
      <c r="AA44" s="1349">
        <f t="shared" si="4"/>
        <v>1</v>
      </c>
      <c r="AB44" s="1349">
        <f t="shared" si="5"/>
        <v>1</v>
      </c>
      <c r="AC44" s="1349">
        <f t="shared" si="6"/>
        <v>1</v>
      </c>
    </row>
    <row r="45" spans="1:29" s="419" customFormat="1" ht="15.75" thickBot="1">
      <c r="A45" s="416"/>
      <c r="B45" s="1130">
        <v>111</v>
      </c>
      <c r="C45" s="1974"/>
      <c r="D45" s="625">
        <v>100</v>
      </c>
      <c r="E45" s="619"/>
      <c r="F45" s="386">
        <f>SUMIF(130:130,E45,131:131)-SUMIF(130:130,C45,131:131)+100</f>
        <v>100</v>
      </c>
      <c r="G45" s="619"/>
      <c r="H45" s="386">
        <f>SUMIF(130:130,G45,131:131)-SUMIF(130:130,C45,131:131)+100</f>
        <v>100</v>
      </c>
      <c r="I45" s="619"/>
      <c r="J45" s="386">
        <f>SUMIF(130:130,I45,131:131)-SUMIF(130:130,C45,131:131)+100</f>
        <v>100</v>
      </c>
      <c r="K45" s="626"/>
      <c r="L45" s="3465"/>
      <c r="M45" s="2715"/>
      <c r="N45" s="2715"/>
      <c r="O45" s="2767"/>
      <c r="P45" s="3729"/>
      <c r="Q45" s="1348">
        <f t="shared" si="15"/>
        <v>111</v>
      </c>
      <c r="R45" s="704" t="s">
        <v>14</v>
      </c>
      <c r="S45" s="705">
        <f t="shared" si="11"/>
        <v>100</v>
      </c>
      <c r="T45" s="704" t="s">
        <v>14</v>
      </c>
      <c r="U45" s="705">
        <f t="shared" si="12"/>
        <v>100</v>
      </c>
      <c r="V45" s="704" t="s">
        <v>14</v>
      </c>
      <c r="W45" s="705">
        <f t="shared" si="13"/>
        <v>100</v>
      </c>
      <c r="X45" s="706"/>
      <c r="Y45" s="3729"/>
      <c r="Z45" s="707">
        <f t="shared" si="14"/>
        <v>111</v>
      </c>
      <c r="AA45" s="1349">
        <f t="shared" si="4"/>
        <v>1</v>
      </c>
      <c r="AB45" s="1349">
        <f t="shared" si="5"/>
        <v>1</v>
      </c>
      <c r="AC45" s="1349">
        <f t="shared" si="6"/>
        <v>1</v>
      </c>
    </row>
    <row r="46" spans="1:29" ht="15">
      <c r="A46" s="427" t="s">
        <v>1844</v>
      </c>
      <c r="B46" s="1975" t="s">
        <v>1879</v>
      </c>
      <c r="C46" s="627" t="s">
        <v>0</v>
      </c>
      <c r="D46" s="429"/>
      <c r="E46" s="430">
        <f>招拍挂案例!U4</f>
        <v>14300</v>
      </c>
      <c r="F46" s="431"/>
      <c r="G46" s="432">
        <f>招拍挂案例!U5</f>
        <v>14000</v>
      </c>
      <c r="H46" s="433"/>
      <c r="I46" s="430">
        <f>招拍挂案例!U9</f>
        <v>14000</v>
      </c>
      <c r="J46" s="433"/>
      <c r="K46" s="710"/>
      <c r="L46" s="3466"/>
      <c r="M46" s="2717"/>
      <c r="N46" s="2708"/>
      <c r="O46" s="2717"/>
      <c r="P46" s="3709" t="str">
        <f>A46</f>
        <v>成交单价</v>
      </c>
      <c r="Q46" s="3709"/>
      <c r="R46" s="3722">
        <f>E46</f>
        <v>14300</v>
      </c>
      <c r="S46" s="3722"/>
      <c r="T46" s="3722">
        <f>G46</f>
        <v>14000</v>
      </c>
      <c r="U46" s="3722"/>
      <c r="V46" s="3722">
        <f>I46</f>
        <v>14000</v>
      </c>
      <c r="W46" s="3722"/>
      <c r="X46" s="686"/>
      <c r="Y46" s="708"/>
      <c r="Z46" s="686"/>
      <c r="AA46" s="686"/>
      <c r="AB46" s="686"/>
      <c r="AC46" s="686"/>
    </row>
    <row r="47" spans="1:29" ht="15.75" thickBot="1">
      <c r="A47" s="434" t="s">
        <v>1793</v>
      </c>
      <c r="B47" s="628"/>
      <c r="C47" s="437">
        <f>R48</f>
        <v>14849</v>
      </c>
      <c r="D47" s="2310" t="s">
        <v>2138</v>
      </c>
      <c r="E47" s="437">
        <f>R47</f>
        <v>14772</v>
      </c>
      <c r="F47" s="2311"/>
      <c r="G47" s="436">
        <f>T47</f>
        <v>14769</v>
      </c>
      <c r="H47" s="2311"/>
      <c r="I47" s="437">
        <f>V47</f>
        <v>15007</v>
      </c>
      <c r="J47" s="2311"/>
      <c r="K47" s="2313">
        <f>F47+H47+J47</f>
        <v>0</v>
      </c>
      <c r="L47" s="3466"/>
      <c r="M47" s="2717"/>
      <c r="N47" s="2717"/>
      <c r="O47" s="2717"/>
      <c r="P47" s="3709" t="str">
        <f>A47</f>
        <v>比较价值（元/平方米）</v>
      </c>
      <c r="Q47" s="3709"/>
      <c r="R47" s="3730">
        <f>ROUND(PRODUCT(R46,AA7:AA45),0)</f>
        <v>14772</v>
      </c>
      <c r="S47" s="3730"/>
      <c r="T47" s="3730">
        <f>ROUND(PRODUCT(T46,AB7:AB45),0)</f>
        <v>14769</v>
      </c>
      <c r="U47" s="3730"/>
      <c r="V47" s="3730">
        <f>ROUND(PRODUCT(V46,AC7:AC45),0)</f>
        <v>15007</v>
      </c>
      <c r="W47" s="3730"/>
      <c r="X47" s="686"/>
      <c r="Y47" s="686"/>
      <c r="Z47" s="686"/>
      <c r="AA47" s="686"/>
      <c r="AB47" s="686"/>
      <c r="AC47" s="686"/>
    </row>
    <row r="48" spans="1:29" ht="15.75" thickBot="1">
      <c r="A48" s="438" t="s">
        <v>1880</v>
      </c>
      <c r="B48" s="439"/>
      <c r="C48" s="440">
        <f>R48</f>
        <v>14849</v>
      </c>
      <c r="D48" s="440"/>
      <c r="E48" s="440"/>
      <c r="F48" s="440"/>
      <c r="G48" s="440"/>
      <c r="H48" s="440"/>
      <c r="I48" s="440"/>
      <c r="J48" s="440"/>
      <c r="K48" s="711"/>
      <c r="L48" s="2716"/>
      <c r="M48" s="2717"/>
      <c r="N48" s="2717"/>
      <c r="O48" s="2717"/>
      <c r="P48" s="3731" t="str">
        <f>A48</f>
        <v>估价对象XX用房的比较价值（楼面单价，元/平方米）</v>
      </c>
      <c r="Q48" s="3732"/>
      <c r="R48" s="3733">
        <f>ROUND(IF(D47="简单平均",AVERAGE(R47:W47),R47*F47+T47*H47+V47*J47),0)</f>
        <v>14849</v>
      </c>
      <c r="S48" s="3733"/>
      <c r="T48" s="3733"/>
      <c r="U48" s="3733"/>
      <c r="V48" s="3733"/>
      <c r="W48" s="3733"/>
      <c r="X48" s="686"/>
      <c r="Y48" s="686"/>
      <c r="Z48" s="686"/>
      <c r="AA48" s="686"/>
      <c r="AB48" s="686"/>
      <c r="AC48" s="686"/>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f>IF(E46&lt;E47,E47/E46-1,E46/E47-1)</f>
        <v>3.3006993006992946E-2</v>
      </c>
      <c r="F51" s="446" t="str">
        <f>IF(OR(E51&gt;=0.3,E51&lt;=-0.3),"超过30%","")</f>
        <v/>
      </c>
      <c r="G51" s="445">
        <f>IF(G46&lt;G47,G47/G46-1,G46/G47-1)</f>
        <v>5.4928571428571438E-2</v>
      </c>
      <c r="H51" s="446" t="str">
        <f>IF(OR(G51&gt;=0.3,G51&lt;=-0.3),"超过30%","")</f>
        <v/>
      </c>
      <c r="I51" s="445">
        <f>IF(I46&lt;I47,I47/I46-1,I46/I47-1)</f>
        <v>7.1928571428571342E-2</v>
      </c>
      <c r="J51" s="446"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f>IF(E47&lt;G47,G47/E47-1,E47/G47-1)</f>
        <v>2.0312817387768689E-4</v>
      </c>
      <c r="F52" s="446" t="str">
        <f>IF(OR(E52&gt;=0.2,E52&lt;=-0.2),"超过20%","")</f>
        <v/>
      </c>
      <c r="G52" s="445">
        <f>IF(G47&lt;I47,I47/G47-1,G47/I47-1)</f>
        <v>1.6114835127632121E-2</v>
      </c>
      <c r="H52" s="446" t="str">
        <f>IF(OR(G52&gt;=0.2,G52&lt;=-0.2),"超过20%","")</f>
        <v/>
      </c>
      <c r="I52" s="445">
        <f>IF(I47&lt;E47,E47/I47-1,I47/E47-1)</f>
        <v>1.5908475494178065E-2</v>
      </c>
      <c r="J52" s="446" t="str">
        <f>IF(OR(I52&gt;=0.2,I52&lt;=-0.2),"超过20%","")</f>
        <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f>IF(E46&lt;G46,G46/E46-1,E46/G46-1)</f>
        <v>2.1428571428571352E-2</v>
      </c>
      <c r="F53" s="446" t="str">
        <f>IF(OR(E53&gt;=0.3,E53&lt;=-0.3),"超过30%","")</f>
        <v/>
      </c>
      <c r="G53" s="445">
        <f>IF(G46&lt;I46,I46/G46-1,G46/I46-1)</f>
        <v>0</v>
      </c>
      <c r="H53" s="446" t="str">
        <f>IF(OR(G53&gt;=0.3,G53&lt;=-0.3),"超过30%","")</f>
        <v/>
      </c>
      <c r="I53" s="445">
        <f>IF(I46&lt;E46,E46/I46-1,I46/E46-1)</f>
        <v>2.1428571428571352E-2</v>
      </c>
      <c r="J53" s="446"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6" t="s">
        <v>1883</v>
      </c>
      <c r="D55" s="1977" t="s">
        <v>1884</v>
      </c>
      <c r="E55" s="631" t="s">
        <v>1885</v>
      </c>
      <c r="F55" s="886" t="s">
        <v>1886</v>
      </c>
      <c r="G55" s="3710" t="s">
        <v>1887</v>
      </c>
      <c r="H55" s="3734"/>
      <c r="I55" s="133" t="s">
        <v>1888</v>
      </c>
      <c r="J55" s="1978">
        <f>项目基本情况!F35</f>
        <v>0</v>
      </c>
      <c r="K55" s="1979"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f>C48</f>
        <v>14849</v>
      </c>
      <c r="C56" s="635">
        <v>1</v>
      </c>
      <c r="D56" s="940">
        <v>1</v>
      </c>
      <c r="E56" s="635">
        <f>'数据-汇总表'!E8+'数据-汇总表'!E9</f>
        <v>1</v>
      </c>
      <c r="F56" s="882">
        <f t="shared" ref="F56:F64" si="16">ROUND(B56*E56/10000,0)</f>
        <v>1</v>
      </c>
      <c r="G56" s="3735"/>
      <c r="H56" s="3709"/>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f>ROUND($C$48*C57*D57,0)</f>
        <v>0</v>
      </c>
      <c r="C57" s="168">
        <f t="shared" ref="C57:C64" si="17">IF($C$55="北京市系数",I57,J57)</f>
        <v>0</v>
      </c>
      <c r="D57" s="941">
        <v>0.25</v>
      </c>
      <c r="E57" s="639"/>
      <c r="F57" s="882">
        <f t="shared" si="16"/>
        <v>0</v>
      </c>
      <c r="G57" s="2998" t="s">
        <v>1892</v>
      </c>
      <c r="H57" s="883">
        <f>项目基本情况!B37</f>
        <v>0</v>
      </c>
      <c r="I57" s="887">
        <f>SUMIF(修正!A57:A68,H57,修正!B57:B68)</f>
        <v>0</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f t="shared" ref="B58:B64" si="18">ROUND($C$48*C58*D58,0)</f>
        <v>0</v>
      </c>
      <c r="C58" s="168">
        <f t="shared" si="17"/>
        <v>0</v>
      </c>
      <c r="D58" s="941">
        <v>0.25</v>
      </c>
      <c r="E58" s="639"/>
      <c r="F58" s="882">
        <f t="shared" si="16"/>
        <v>0</v>
      </c>
      <c r="G58" s="2999"/>
      <c r="H58" s="883">
        <f>项目基本情况!B37</f>
        <v>0</v>
      </c>
      <c r="I58" s="887">
        <f>SUMIF(修正!A57:A68,H58,修正!C57:C68)</f>
        <v>0</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f t="shared" si="18"/>
        <v>0</v>
      </c>
      <c r="C59" s="168">
        <f t="shared" si="17"/>
        <v>0</v>
      </c>
      <c r="D59" s="941">
        <v>0.25</v>
      </c>
      <c r="E59" s="639"/>
      <c r="F59" s="882">
        <f t="shared" si="16"/>
        <v>0</v>
      </c>
      <c r="G59" s="2999"/>
      <c r="H59" s="883">
        <f>项目基本情况!B37</f>
        <v>0</v>
      </c>
      <c r="I59" s="887">
        <f>SUMIF(修正!A57:A68,H59,修正!D57:D68)</f>
        <v>0</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f t="shared" si="18"/>
        <v>0</v>
      </c>
      <c r="C60" s="168">
        <f t="shared" si="17"/>
        <v>0</v>
      </c>
      <c r="D60" s="941">
        <v>0.25</v>
      </c>
      <c r="E60" s="214">
        <f>'数据-汇总表'!E11</f>
        <v>0</v>
      </c>
      <c r="F60" s="882">
        <f t="shared" si="16"/>
        <v>0</v>
      </c>
      <c r="G60" s="1980" t="s">
        <v>1896</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f t="shared" si="18"/>
        <v>0</v>
      </c>
      <c r="C61" s="168">
        <f t="shared" si="17"/>
        <v>0</v>
      </c>
      <c r="D61" s="941">
        <v>0.25</v>
      </c>
      <c r="E61" s="214">
        <f>'数据-汇总表'!E12</f>
        <v>0</v>
      </c>
      <c r="F61" s="882">
        <f t="shared" si="16"/>
        <v>0</v>
      </c>
      <c r="G61" s="888" t="s">
        <v>1898</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f t="shared" si="18"/>
        <v>0</v>
      </c>
      <c r="C62" s="168">
        <f t="shared" si="17"/>
        <v>0</v>
      </c>
      <c r="D62" s="941">
        <v>0.25</v>
      </c>
      <c r="E62" s="214">
        <f>'数据-汇总表'!E13</f>
        <v>0</v>
      </c>
      <c r="F62" s="882">
        <f t="shared" si="16"/>
        <v>0</v>
      </c>
      <c r="G62" s="888" t="s">
        <v>1900</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f t="shared" si="18"/>
        <v>0</v>
      </c>
      <c r="C63" s="168">
        <f t="shared" si="17"/>
        <v>0</v>
      </c>
      <c r="D63" s="941">
        <v>0.25</v>
      </c>
      <c r="E63" s="214">
        <f>'数据-汇总表'!E14</f>
        <v>0</v>
      </c>
      <c r="F63" s="882">
        <f t="shared" si="16"/>
        <v>0</v>
      </c>
      <c r="G63" s="1980" t="s">
        <v>1892</v>
      </c>
      <c r="H63" s="883">
        <f>项目基本情况!B37</f>
        <v>0</v>
      </c>
      <c r="I63" s="887">
        <f>SUMIF(修正!A57:A68,H63,修正!G57:G68)</f>
        <v>0</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f t="shared" si="18"/>
        <v>0</v>
      </c>
      <c r="C64" s="168">
        <f t="shared" si="17"/>
        <v>0</v>
      </c>
      <c r="D64" s="941">
        <v>0.25</v>
      </c>
      <c r="E64" s="214">
        <f>'数据-汇总表'!E15</f>
        <v>0</v>
      </c>
      <c r="F64" s="882">
        <f t="shared" si="16"/>
        <v>0</v>
      </c>
      <c r="G64" s="1981" t="s">
        <v>1896</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1</v>
      </c>
      <c r="F65" s="642">
        <f>IF(B46="楼面地价",SUM(F56:F64),ROUND(C48*E65/10000,0))</f>
        <v>1</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86"/>
      <c r="B67" s="688"/>
      <c r="C67" s="688" t="str">
        <f>YEAR(C7)&amp;"-"&amp;MONTH(C7)&amp;"-1"</f>
        <v>2023-2-1</v>
      </c>
      <c r="D67" s="688">
        <f>EDATE(C67,-3)</f>
        <v>44866</v>
      </c>
      <c r="E67" s="688">
        <f>EDATE(D67,-3)</f>
        <v>44774</v>
      </c>
      <c r="F67" s="688">
        <f t="shared" ref="F67:O67" si="19">EDATE(E67,-3)</f>
        <v>44682</v>
      </c>
      <c r="G67" s="688">
        <f t="shared" si="19"/>
        <v>44593</v>
      </c>
      <c r="H67" s="688">
        <f t="shared" si="19"/>
        <v>44501</v>
      </c>
      <c r="I67" s="688">
        <f t="shared" si="19"/>
        <v>44409</v>
      </c>
      <c r="J67" s="688">
        <f t="shared" si="19"/>
        <v>44317</v>
      </c>
      <c r="K67" s="688">
        <f t="shared" si="19"/>
        <v>44228</v>
      </c>
      <c r="L67" s="688">
        <f t="shared" si="19"/>
        <v>44136</v>
      </c>
      <c r="M67" s="688">
        <f t="shared" si="19"/>
        <v>44044</v>
      </c>
      <c r="N67" s="688">
        <f t="shared" si="19"/>
        <v>43952</v>
      </c>
      <c r="O67" s="688">
        <f t="shared" si="19"/>
        <v>43862</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4" customFormat="1" ht="15">
      <c r="A69" s="1982" t="s">
        <v>1904</v>
      </c>
      <c r="B69" s="1105"/>
      <c r="C69" s="1178" t="str">
        <f>YEAR(C67)&amp;"-"&amp;ROUNDUP(MONTH(C67)/3,0)</f>
        <v>2023-1</v>
      </c>
      <c r="D69" s="1178" t="str">
        <f>YEAR(D67)&amp;"-"&amp;ROUNDUP(MONTH(D67)/3,0)</f>
        <v>2022-4</v>
      </c>
      <c r="E69" s="1178" t="str">
        <f t="shared" ref="E69:O69" si="20">YEAR(E67)&amp;"-"&amp;ROUNDUP(MONTH(E67)/3,0)</f>
        <v>2022-3</v>
      </c>
      <c r="F69" s="1178" t="str">
        <f t="shared" si="20"/>
        <v>2022-2</v>
      </c>
      <c r="G69" s="1178" t="str">
        <f t="shared" si="20"/>
        <v>2022-1</v>
      </c>
      <c r="H69" s="1178" t="str">
        <f t="shared" si="20"/>
        <v>2021-4</v>
      </c>
      <c r="I69" s="1178" t="str">
        <f t="shared" si="20"/>
        <v>2021-3</v>
      </c>
      <c r="J69" s="1178" t="str">
        <f t="shared" si="20"/>
        <v>2021-2</v>
      </c>
      <c r="K69" s="1178" t="str">
        <f t="shared" si="20"/>
        <v>2021-1</v>
      </c>
      <c r="L69" s="1178" t="str">
        <f t="shared" si="20"/>
        <v>2020-4</v>
      </c>
      <c r="M69" s="1178" t="str">
        <f t="shared" si="20"/>
        <v>2020-3</v>
      </c>
      <c r="N69" s="1178" t="str">
        <f t="shared" si="20"/>
        <v>2020-2</v>
      </c>
      <c r="O69" s="1178" t="str">
        <f t="shared" si="20"/>
        <v>2020-1</v>
      </c>
      <c r="P69" s="2768" t="s">
        <v>3503</v>
      </c>
      <c r="Q69" s="2733" t="s">
        <v>3504</v>
      </c>
      <c r="R69" s="2733"/>
      <c r="S69" s="2733"/>
      <c r="T69" s="2733"/>
      <c r="U69" s="2733"/>
      <c r="V69" s="2733"/>
      <c r="W69" s="2733"/>
      <c r="X69" s="2733"/>
      <c r="Y69" s="2733"/>
      <c r="Z69" s="2733"/>
      <c r="AA69" s="2733"/>
      <c r="AB69" s="2733"/>
      <c r="AC69" s="2733"/>
    </row>
    <row r="70" spans="1:29" s="108" customFormat="1" ht="30" customHeight="1">
      <c r="A70" s="1983" t="s">
        <v>1905</v>
      </c>
      <c r="B70" s="285" t="str">
        <f>"北京市平均增长率"&amp;TEXT(SUMIF(基准地价修正!N25:N29,A70,基准地价修正!P25:P29),"0.00%")</f>
        <v>北京市平均增长率0.00%</v>
      </c>
      <c r="C70" s="549">
        <v>100</v>
      </c>
      <c r="D70" s="541">
        <v>99</v>
      </c>
      <c r="E70" s="541">
        <v>98</v>
      </c>
      <c r="F70" s="541">
        <v>97</v>
      </c>
      <c r="G70" s="541">
        <v>96</v>
      </c>
      <c r="H70" s="541">
        <v>95</v>
      </c>
      <c r="I70" s="541">
        <v>94</v>
      </c>
      <c r="J70" s="541">
        <v>93</v>
      </c>
      <c r="K70" s="541">
        <v>92</v>
      </c>
      <c r="L70" s="541">
        <v>91</v>
      </c>
      <c r="M70" s="1174">
        <v>90</v>
      </c>
      <c r="N70" s="541">
        <v>89</v>
      </c>
      <c r="O70" s="1175">
        <v>88</v>
      </c>
      <c r="P70" s="2653">
        <v>87</v>
      </c>
      <c r="Q70" s="2653">
        <v>86</v>
      </c>
      <c r="R70" s="2653"/>
      <c r="S70" s="2653"/>
      <c r="T70" s="2653"/>
      <c r="U70" s="2653"/>
      <c r="V70" s="2653"/>
      <c r="W70" s="2653"/>
      <c r="X70" s="2653"/>
      <c r="Y70" s="2653"/>
      <c r="Z70" s="2653"/>
      <c r="AA70" s="2653"/>
      <c r="AB70" s="2653"/>
      <c r="AC70" s="2653"/>
    </row>
    <row r="71" spans="1:29" s="108" customFormat="1" ht="15.75" thickBot="1">
      <c r="A71" s="461" t="s">
        <v>1716</v>
      </c>
      <c r="B71" s="462"/>
      <c r="C71" s="463"/>
      <c r="D71" s="464"/>
      <c r="E71" s="464"/>
      <c r="F71" s="464"/>
      <c r="G71" s="464"/>
      <c r="H71" s="464"/>
      <c r="I71" s="464"/>
      <c r="J71" s="464"/>
      <c r="K71" s="464"/>
      <c r="L71" s="464"/>
      <c r="M71" s="465"/>
      <c r="N71" s="464"/>
      <c r="O71" s="939"/>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t="s">
        <v>3508</v>
      </c>
      <c r="E72" s="469" t="s">
        <v>3507</v>
      </c>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v>100</v>
      </c>
      <c r="E73" s="458">
        <v>100</v>
      </c>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ht="42.75">
      <c r="A74" s="473" t="s">
        <v>1719</v>
      </c>
      <c r="B74" s="474" t="s">
        <v>1685</v>
      </c>
      <c r="C74" s="476" t="s">
        <v>3502</v>
      </c>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v>100</v>
      </c>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2（含）-2.1</v>
      </c>
      <c r="D78" s="493" t="str">
        <f t="shared" ref="D78:L78" si="21">D79&amp;"（含）"&amp;"-"&amp;E79</f>
        <v>2.1（含）-2.2</v>
      </c>
      <c r="E78" s="493" t="str">
        <f t="shared" si="21"/>
        <v>2.2（含）-2.3</v>
      </c>
      <c r="F78" s="493" t="str">
        <f t="shared" si="21"/>
        <v>2.3（含）-2.4</v>
      </c>
      <c r="G78" s="493" t="str">
        <f t="shared" si="21"/>
        <v>2.4（含）-2.5</v>
      </c>
      <c r="H78" s="493" t="str">
        <f t="shared" si="21"/>
        <v>2.5（含）-2.6</v>
      </c>
      <c r="I78" s="493" t="str">
        <f t="shared" si="21"/>
        <v>2.6（含）-2.7</v>
      </c>
      <c r="J78" s="493" t="str">
        <f t="shared" si="21"/>
        <v>2.7（含）-2.8</v>
      </c>
      <c r="K78" s="493" t="str">
        <f t="shared" si="21"/>
        <v>2.8（含）-2.9</v>
      </c>
      <c r="L78" s="493" t="str">
        <f t="shared" si="21"/>
        <v>2.9（含）-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2">IF($B$46="单位面积地价",C80+$K11,C80-$K11)</f>
        <v>99.5</v>
      </c>
      <c r="E80" s="490">
        <f t="shared" si="22"/>
        <v>99</v>
      </c>
      <c r="F80" s="490">
        <f t="shared" si="22"/>
        <v>98.5</v>
      </c>
      <c r="G80" s="490">
        <f t="shared" si="22"/>
        <v>98</v>
      </c>
      <c r="H80" s="490">
        <f t="shared" si="22"/>
        <v>97.5</v>
      </c>
      <c r="I80" s="490">
        <f t="shared" si="22"/>
        <v>97</v>
      </c>
      <c r="J80" s="490">
        <f t="shared" si="22"/>
        <v>96.5</v>
      </c>
      <c r="K80" s="490">
        <f t="shared" si="22"/>
        <v>96</v>
      </c>
      <c r="L80" s="490">
        <f t="shared" si="22"/>
        <v>95.5</v>
      </c>
      <c r="M80" s="490">
        <f t="shared" si="22"/>
        <v>95</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98</v>
      </c>
      <c r="E88" s="490">
        <f>D88-$K15</f>
        <v>96</v>
      </c>
      <c r="F88" s="490">
        <f>E88-$K15</f>
        <v>94</v>
      </c>
      <c r="G88" s="490">
        <f>F88-$K15</f>
        <v>92</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98</v>
      </c>
      <c r="E94" s="490">
        <f>D94-$K21</f>
        <v>96</v>
      </c>
      <c r="F94" s="490">
        <f>E94-$K21</f>
        <v>94</v>
      </c>
      <c r="G94" s="490">
        <f>F94-$K21</f>
        <v>92</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99</v>
      </c>
      <c r="E96" s="490">
        <f>D96-$K23</f>
        <v>98</v>
      </c>
      <c r="F96" s="490">
        <f>E96-$K23</f>
        <v>97</v>
      </c>
      <c r="G96" s="490">
        <f>F96-$K23</f>
        <v>96</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3">C104-$K31</f>
        <v>100</v>
      </c>
      <c r="E104" s="490">
        <f t="shared" si="23"/>
        <v>100</v>
      </c>
      <c r="F104" s="490">
        <f t="shared" si="23"/>
        <v>100</v>
      </c>
      <c r="G104" s="490">
        <f t="shared" si="23"/>
        <v>100</v>
      </c>
      <c r="H104" s="490">
        <f t="shared" si="23"/>
        <v>100</v>
      </c>
      <c r="I104" s="490">
        <f t="shared" si="23"/>
        <v>100</v>
      </c>
      <c r="J104" s="490">
        <f t="shared" si="23"/>
        <v>100</v>
      </c>
      <c r="K104" s="490">
        <f t="shared" si="23"/>
        <v>100</v>
      </c>
      <c r="L104" s="490">
        <f t="shared" si="23"/>
        <v>100</v>
      </c>
      <c r="M104" s="490">
        <f t="shared" si="23"/>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3461" t="s">
        <v>3520</v>
      </c>
      <c r="D105" s="3461" t="s">
        <v>3521</v>
      </c>
      <c r="E105" s="3461" t="s">
        <v>3522</v>
      </c>
      <c r="F105" s="3461" t="s">
        <v>3523</v>
      </c>
      <c r="G105" s="3461" t="s">
        <v>3524</v>
      </c>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3462" t="s">
        <v>25</v>
      </c>
      <c r="D107" s="3462" t="s">
        <v>2850</v>
      </c>
      <c r="E107" s="3462" t="s">
        <v>2851</v>
      </c>
      <c r="F107" s="3462" t="s">
        <v>2852</v>
      </c>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ht="28.5">
      <c r="A115" s="473" t="s">
        <v>1694</v>
      </c>
      <c r="B115" s="474" t="s">
        <v>1913</v>
      </c>
      <c r="C115" s="475" t="str">
        <f>C116&amp;"(含)"&amp;"-"&amp;D116</f>
        <v>0(含)-50000</v>
      </c>
      <c r="D115" s="475" t="str">
        <f t="shared" ref="D115:M115" si="26">D116&amp;"(含)"&amp;"-"&amp;E116</f>
        <v>50000(含)-100000</v>
      </c>
      <c r="E115" s="475" t="str">
        <f t="shared" si="26"/>
        <v>100000(含)-150000</v>
      </c>
      <c r="F115" s="475" t="str">
        <f t="shared" si="26"/>
        <v>150000(含)-200000</v>
      </c>
      <c r="G115" s="475" t="str">
        <f t="shared" si="26"/>
        <v>200000(含)-250000</v>
      </c>
      <c r="H115" s="475" t="str">
        <f t="shared" si="26"/>
        <v>250000(含)-</v>
      </c>
      <c r="I115" s="475" t="str">
        <f t="shared" si="26"/>
        <v>(含)-</v>
      </c>
      <c r="J115" s="475" t="str">
        <f t="shared" si="26"/>
        <v>(含)-</v>
      </c>
      <c r="K115" s="475" t="str">
        <f t="shared" si="26"/>
        <v>(含)-</v>
      </c>
      <c r="L115" s="475" t="str">
        <f t="shared" si="26"/>
        <v>(含)-</v>
      </c>
      <c r="M115" s="475" t="str">
        <f t="shared" si="26"/>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v>0</v>
      </c>
      <c r="D116" s="541">
        <v>50000</v>
      </c>
      <c r="E116" s="541">
        <v>100000</v>
      </c>
      <c r="F116" s="541">
        <v>150000</v>
      </c>
      <c r="G116" s="541">
        <v>200000</v>
      </c>
      <c r="H116" s="541">
        <v>250000</v>
      </c>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v>100</v>
      </c>
      <c r="D117" s="537">
        <v>98</v>
      </c>
      <c r="E117" s="537">
        <v>96</v>
      </c>
      <c r="F117" s="537">
        <v>94</v>
      </c>
      <c r="G117" s="537">
        <v>92</v>
      </c>
      <c r="H117" s="537">
        <v>90</v>
      </c>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3462" t="s">
        <v>3525</v>
      </c>
      <c r="D118" s="3462" t="s">
        <v>3526</v>
      </c>
      <c r="E118" s="3462" t="s">
        <v>3527</v>
      </c>
      <c r="F118" s="3462" t="s">
        <v>3528</v>
      </c>
      <c r="G118" s="3462" t="s">
        <v>3529</v>
      </c>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7">C119-$K39</f>
        <v>100</v>
      </c>
      <c r="E119" s="490">
        <f t="shared" si="27"/>
        <v>100</v>
      </c>
      <c r="F119" s="490">
        <f t="shared" si="27"/>
        <v>100</v>
      </c>
      <c r="G119" s="490">
        <f t="shared" si="27"/>
        <v>100</v>
      </c>
      <c r="H119" s="490">
        <f t="shared" si="27"/>
        <v>100</v>
      </c>
      <c r="I119" s="490">
        <f t="shared" si="27"/>
        <v>100</v>
      </c>
      <c r="J119" s="490">
        <f t="shared" si="27"/>
        <v>100</v>
      </c>
      <c r="K119" s="490">
        <f t="shared" si="27"/>
        <v>100</v>
      </c>
      <c r="L119" s="490">
        <f t="shared" si="27"/>
        <v>100</v>
      </c>
      <c r="M119" s="491">
        <f t="shared" si="27"/>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3461" t="s">
        <v>3530</v>
      </c>
      <c r="D122" s="3461" t="s">
        <v>3531</v>
      </c>
      <c r="E122" s="3461" t="s">
        <v>3532</v>
      </c>
      <c r="F122" s="3461" t="s">
        <v>3533</v>
      </c>
      <c r="G122" s="3461" t="s">
        <v>3534</v>
      </c>
      <c r="H122" s="3462" t="s">
        <v>3535</v>
      </c>
      <c r="I122" s="3462" t="s">
        <v>3536</v>
      </c>
      <c r="J122" s="3462" t="s">
        <v>3537</v>
      </c>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29">C123-$K41</f>
        <v>100</v>
      </c>
      <c r="E123" s="490">
        <f t="shared" si="29"/>
        <v>100</v>
      </c>
      <c r="F123" s="490">
        <f t="shared" si="29"/>
        <v>100</v>
      </c>
      <c r="G123" s="490">
        <f t="shared" si="29"/>
        <v>100</v>
      </c>
      <c r="H123" s="490">
        <f t="shared" si="29"/>
        <v>100</v>
      </c>
      <c r="I123" s="490">
        <f t="shared" si="29"/>
        <v>100</v>
      </c>
      <c r="J123" s="490">
        <f t="shared" si="29"/>
        <v>100</v>
      </c>
      <c r="K123" s="490">
        <f t="shared" si="29"/>
        <v>100</v>
      </c>
      <c r="L123" s="490">
        <f t="shared" si="29"/>
        <v>100</v>
      </c>
      <c r="M123" s="491">
        <f t="shared" si="29"/>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3461" t="s">
        <v>3538</v>
      </c>
      <c r="D124" s="3461" t="s">
        <v>3539</v>
      </c>
      <c r="E124" s="3462" t="s">
        <v>3527</v>
      </c>
      <c r="F124" s="3462" t="s">
        <v>3540</v>
      </c>
      <c r="G124" s="3462" t="s">
        <v>3541</v>
      </c>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30">C125-$K42</f>
        <v>100</v>
      </c>
      <c r="E125" s="490">
        <f t="shared" si="30"/>
        <v>100</v>
      </c>
      <c r="F125" s="490">
        <f t="shared" si="30"/>
        <v>100</v>
      </c>
      <c r="G125" s="490">
        <f t="shared" si="30"/>
        <v>100</v>
      </c>
      <c r="H125" s="490">
        <f t="shared" si="30"/>
        <v>100</v>
      </c>
      <c r="I125" s="490">
        <f t="shared" si="30"/>
        <v>100</v>
      </c>
      <c r="J125" s="490">
        <f t="shared" si="30"/>
        <v>100</v>
      </c>
      <c r="K125" s="490">
        <f t="shared" si="30"/>
        <v>100</v>
      </c>
      <c r="L125" s="490">
        <f t="shared" si="30"/>
        <v>100</v>
      </c>
      <c r="M125" s="491">
        <f t="shared" si="30"/>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t="str">
        <f>B43</f>
        <v>宗地规划限制</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1 H51 J51">
    <cfRule type="containsText" dxfId="161" priority="18" stopIfTrue="1" operator="containsText" text="超过">
      <formula>NOT(ISERROR(SEARCH("超过",F51)))</formula>
    </cfRule>
  </conditionalFormatting>
  <conditionalFormatting sqref="J53">
    <cfRule type="containsText" dxfId="160" priority="17" stopIfTrue="1" operator="containsText" text="超过">
      <formula>NOT(ISERROR(SEARCH("超过",J53)))</formula>
    </cfRule>
  </conditionalFormatting>
  <conditionalFormatting sqref="H53">
    <cfRule type="containsText" dxfId="159" priority="16" stopIfTrue="1" operator="containsText" text="超过">
      <formula>NOT(ISERROR(SEARCH("超过",H53)))</formula>
    </cfRule>
  </conditionalFormatting>
  <conditionalFormatting sqref="F53">
    <cfRule type="containsText" dxfId="158" priority="15" stopIfTrue="1" operator="containsText" text="超过">
      <formula>NOT(ISERROR(SEARCH("超过",F53)))</formula>
    </cfRule>
  </conditionalFormatting>
  <conditionalFormatting sqref="F52 H52 J52">
    <cfRule type="containsText" dxfId="157" priority="14" stopIfTrue="1" operator="containsText" text="超过">
      <formula>NOT(ISERROR(SEARCH("超过",F52)))</formula>
    </cfRule>
  </conditionalFormatting>
  <conditionalFormatting sqref="E51">
    <cfRule type="expression" dxfId="156" priority="13" stopIfTrue="1">
      <formula>$F$51="超过30%"</formula>
    </cfRule>
  </conditionalFormatting>
  <conditionalFormatting sqref="G53">
    <cfRule type="expression" dxfId="155" priority="12" stopIfTrue="1">
      <formula>$H$53="超过30%"</formula>
    </cfRule>
  </conditionalFormatting>
  <conditionalFormatting sqref="E52">
    <cfRule type="expression" dxfId="154" priority="11" stopIfTrue="1">
      <formula>$F$52="超过20%"</formula>
    </cfRule>
  </conditionalFormatting>
  <conditionalFormatting sqref="E53">
    <cfRule type="expression" dxfId="153" priority="10" stopIfTrue="1">
      <formula>$F$53="超过30%"</formula>
    </cfRule>
  </conditionalFormatting>
  <conditionalFormatting sqref="G51">
    <cfRule type="expression" dxfId="152" priority="9" stopIfTrue="1">
      <formula>$H$53+$H$51="超过30%"</formula>
    </cfRule>
  </conditionalFormatting>
  <conditionalFormatting sqref="G52">
    <cfRule type="expression" dxfId="151" priority="8" stopIfTrue="1">
      <formula>$H$52="超过20%"</formula>
    </cfRule>
  </conditionalFormatting>
  <conditionalFormatting sqref="I51">
    <cfRule type="expression" dxfId="150" priority="7" stopIfTrue="1">
      <formula>$J$51="超过30%"</formula>
    </cfRule>
  </conditionalFormatting>
  <conditionalFormatting sqref="I52">
    <cfRule type="expression" dxfId="149" priority="6" stopIfTrue="1">
      <formula>$J$52="超过20%"</formula>
    </cfRule>
  </conditionalFormatting>
  <conditionalFormatting sqref="I53">
    <cfRule type="expression" dxfId="148" priority="5" stopIfTrue="1">
      <formula>$J$53="超过30%"</formula>
    </cfRule>
  </conditionalFormatting>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F7:F45 H7:H45 J7:J45">
    <cfRule type="cellIs" dxfId="144" priority="1" operator="notEqual">
      <formula>100</formula>
    </cfRule>
  </conditionalFormatting>
  <dataValidations count="23">
    <dataValidation type="list" allowBlank="1" showInputMessage="1" showErrorMessage="1" sqref="C25" xr:uid="{00000000-0002-0000-1600-000000000000}">
      <formula1>住宅朝向</formula1>
    </dataValidation>
    <dataValidation type="list" allowBlank="1" showInputMessage="1" showErrorMessage="1" sqref="E22 C22 G22 I22" xr:uid="{00000000-0002-0000-1600-000001000000}">
      <formula1>交通便捷度</formula1>
    </dataValidation>
    <dataValidation type="list" allowBlank="1" showInputMessage="1" showErrorMessage="1" sqref="E16 G16 I16 C16" xr:uid="{00000000-0002-0000-1600-000002000000}">
      <formula1>居住社区成熟度</formula1>
    </dataValidation>
    <dataValidation type="list" allowBlank="1" showInputMessage="1" showErrorMessage="1" sqref="B46" xr:uid="{00000000-0002-0000-1600-000003000000}">
      <formula1>单价内涵</formula1>
    </dataValidation>
    <dataValidation type="list" allowBlank="1" showInputMessage="1" showErrorMessage="1" sqref="C8 E8 G8 I8" xr:uid="{00000000-0002-0000-1600-000004000000}">
      <formula1>套综交易情况</formula1>
    </dataValidation>
    <dataValidation type="list" allowBlank="1" showInputMessage="1" showErrorMessage="1" sqref="C9 E9 G9 I9" xr:uid="{00000000-0002-0000-1600-000005000000}">
      <formula1>套综用途</formula1>
    </dataValidation>
    <dataValidation type="list" allowBlank="1" showInputMessage="1" showErrorMessage="1" sqref="E18 C18 G18 I18" xr:uid="{00000000-0002-0000-1600-000006000000}">
      <formula1>商业繁华度</formula1>
    </dataValidation>
    <dataValidation type="list" allowBlank="1" showInputMessage="1" showErrorMessage="1" sqref="E20 C20 G20 I20" xr:uid="{00000000-0002-0000-1600-000007000000}">
      <formula1>办公集聚程度</formula1>
    </dataValidation>
    <dataValidation type="list" allowBlank="1" showInputMessage="1" showErrorMessage="1" sqref="C33 E33 G33 I33" xr:uid="{00000000-0002-0000-1600-000008000000}">
      <formula1>套综道路等级</formula1>
    </dataValidation>
    <dataValidation type="list" allowBlank="1" showInputMessage="1" showErrorMessage="1" sqref="C34 E34 G34 I34" xr:uid="{00000000-0002-0000-1600-000009000000}">
      <formula1>套综土地级别</formula1>
    </dataValidation>
    <dataValidation type="list" allowBlank="1" showInputMessage="1" showErrorMessage="1" sqref="C39 G39 E39 I39" xr:uid="{00000000-0002-0000-1600-00000A000000}">
      <formula1>套综宗地形状</formula1>
    </dataValidation>
    <dataValidation type="list" allowBlank="1" showInputMessage="1" showErrorMessage="1" sqref="C40 E40 G40 I40" xr:uid="{00000000-0002-0000-1600-00000B000000}">
      <formula1>套综临街宽度及深度</formula1>
    </dataValidation>
    <dataValidation type="list" allowBlank="1" showInputMessage="1" showErrorMessage="1" sqref="C41 E41 G41 I41" xr:uid="{00000000-0002-0000-1600-00000C000000}">
      <formula1>套综宗地内开发程度</formula1>
    </dataValidation>
    <dataValidation type="list" allowBlank="1" showInputMessage="1" showErrorMessage="1" sqref="C42 G42 E42 I42" xr:uid="{00000000-0002-0000-1600-00000D000000}">
      <formula1>套综工程地质条件</formula1>
    </dataValidation>
    <dataValidation type="list" allowBlank="1" showInputMessage="1" showErrorMessage="1" sqref="C31 E31 G31 I31" xr:uid="{00000000-0002-0000-1600-00000E000000}">
      <formula1>临街状况</formula1>
    </dataValidation>
    <dataValidation type="list" allowBlank="1" showInputMessage="1" showErrorMessage="1" sqref="C24 E24 G24 I24 C26 E26 G26 I26 I28 G28 E28 C28" xr:uid="{00000000-0002-0000-1600-00000F000000}">
      <formula1>区域土地利用方向</formula1>
    </dataValidation>
    <dataValidation type="list" allowBlank="1" showInputMessage="1" showErrorMessage="1" sqref="C55" xr:uid="{00000000-0002-0000-1600-000010000000}">
      <formula1>"北京市系数,其他省市系数"</formula1>
    </dataValidation>
    <dataValidation type="list" allowBlank="1" showInputMessage="1" showErrorMessage="1" sqref="G61" xr:uid="{00000000-0002-0000-1600-000011000000}">
      <formula1>"商业,办公,住宅,工业"</formula1>
    </dataValidation>
    <dataValidation type="list" allowBlank="1" showInputMessage="1" showErrorMessage="1" sqref="G62" xr:uid="{00000000-0002-0000-1600-000012000000}">
      <formula1>"住宅,工业"</formula1>
    </dataValidation>
    <dataValidation type="list" allowBlank="1" showInputMessage="1" showErrorMessage="1" sqref="C30 E30 G30 I30" xr:uid="{00000000-0002-0000-1600-000013000000}">
      <formula1>基础设施水平</formula1>
    </dataValidation>
    <dataValidation type="list" allowBlank="1" showInputMessage="1" showErrorMessage="1" sqref="A70" xr:uid="{00000000-0002-0000-1600-000014000000}">
      <formula1>"综合,商业,办公,住宅"</formula1>
    </dataValidation>
    <dataValidation type="list" allowBlank="1" showInputMessage="1" showErrorMessage="1" sqref="D47" xr:uid="{00000000-0002-0000-1600-000015000000}">
      <formula1>"简单平均,加权平均"</formula1>
    </dataValidation>
    <dataValidation type="list" allowBlank="1" showInputMessage="1" showErrorMessage="1" sqref="D57:D64" xr:uid="{00000000-0002-0000-1600-000016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D38"/>
  <sheetViews>
    <sheetView zoomScale="90" zoomScaleNormal="90" workbookViewId="0">
      <selection activeCell="A29" sqref="A29:A35"/>
    </sheetView>
  </sheetViews>
  <sheetFormatPr defaultColWidth="8.875" defaultRowHeight="14.25"/>
  <cols>
    <col min="1" max="1" width="13.875" customWidth="1"/>
    <col min="11" max="17" width="0" hidden="1" customWidth="1"/>
    <col min="25" max="30" width="0" hidden="1" customWidth="1"/>
  </cols>
  <sheetData>
    <row r="1" spans="1:30">
      <c r="A1" s="3213">
        <f>基准地价修正!G23</f>
        <v>44970</v>
      </c>
      <c r="B1" s="3202" t="s">
        <v>2842</v>
      </c>
      <c r="C1" s="3203"/>
      <c r="D1" s="3203"/>
      <c r="E1" s="3203"/>
      <c r="F1" s="3203"/>
      <c r="G1" s="3203"/>
      <c r="H1" s="3203"/>
      <c r="I1" s="3203"/>
      <c r="J1" s="3157"/>
      <c r="K1" s="3203" t="s">
        <v>454</v>
      </c>
      <c r="L1" s="3203"/>
      <c r="M1" s="3203"/>
      <c r="N1" s="3203"/>
      <c r="O1" s="3203"/>
      <c r="P1" s="3203"/>
      <c r="Q1" s="3157"/>
      <c r="R1" s="3736" t="s">
        <v>456</v>
      </c>
      <c r="S1" s="3737"/>
      <c r="T1" s="3737"/>
      <c r="U1" s="3737"/>
      <c r="V1" s="3737"/>
      <c r="W1" s="3737"/>
      <c r="X1" s="3157"/>
      <c r="Y1" s="3736" t="s">
        <v>457</v>
      </c>
      <c r="Z1" s="3737"/>
      <c r="AA1" s="3737"/>
      <c r="AB1" s="3737"/>
      <c r="AC1" s="3737"/>
      <c r="AD1" s="3737"/>
    </row>
    <row r="2" spans="1:30" s="3135" customFormat="1"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ROUND(AVERAGEIF(D4:D16,"&lt;&gt;0"),2)</f>
        <v>0.81</v>
      </c>
      <c r="E3" s="3143">
        <f t="shared" ref="E3:H3" si="0">ROUND(AVERAGEIF(E4:E16,"&lt;&gt;0"),2)</f>
        <v>0.33</v>
      </c>
      <c r="F3" s="3143">
        <f t="shared" si="0"/>
        <v>0.15</v>
      </c>
      <c r="G3" s="3143">
        <f t="shared" si="0"/>
        <v>0.89</v>
      </c>
      <c r="H3" s="3143">
        <f t="shared" si="0"/>
        <v>0.66</v>
      </c>
      <c r="I3" s="3143">
        <f>F3</f>
        <v>0.15</v>
      </c>
      <c r="J3" s="3144"/>
      <c r="K3" s="3145">
        <f>ROUND(AVERAGEIF(K4:K16,"&lt;&gt;0"),4)</f>
        <v>8.0999999999999996E-3</v>
      </c>
      <c r="L3" s="3146">
        <f t="shared" ref="L3:O3" si="1">ROUND(AVERAGEIF(L4:L16,"&lt;&gt;0"),4)</f>
        <v>3.3E-3</v>
      </c>
      <c r="M3" s="3146">
        <f t="shared" si="1"/>
        <v>1.5E-3</v>
      </c>
      <c r="N3" s="3146">
        <f t="shared" si="1"/>
        <v>8.8999999999999999E-3</v>
      </c>
      <c r="O3" s="3146">
        <f t="shared" si="1"/>
        <v>6.6E-3</v>
      </c>
      <c r="P3" s="3146">
        <f>M3</f>
        <v>1.5E-3</v>
      </c>
      <c r="Q3" s="3144"/>
      <c r="R3" s="3147">
        <f>ROUND(SUMPRODUCT(PRODUCT(1+K4:K16)),4)</f>
        <v>1.0668</v>
      </c>
      <c r="S3" s="3148">
        <f t="shared" ref="S3:V3" si="2">ROUND(SUMPRODUCT(PRODUCT(1+L4:L16)),4)</f>
        <v>1.0266999999999999</v>
      </c>
      <c r="T3" s="3148">
        <f t="shared" si="2"/>
        <v>1.0119</v>
      </c>
      <c r="U3" s="3148">
        <f t="shared" si="2"/>
        <v>1.0734999999999999</v>
      </c>
      <c r="V3" s="3148">
        <f t="shared" si="2"/>
        <v>1.054</v>
      </c>
      <c r="W3" s="3147">
        <f>T3</f>
        <v>1.0119</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3374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1.0565</v>
      </c>
      <c r="S5" s="3175">
        <f>ROUND(IF(项目基本情况!$B$8="出让",SUMPRODUCT(PRODUCT(1+L5:$L$16)),SUMPRODUCT(PRODUCT(1+L5:$L$15))),4)</f>
        <v>1.0250999999999999</v>
      </c>
      <c r="T5" s="3175">
        <f>ROUND(IF(项目基本情况!$B$8="出让",SUMPRODUCT(PRODUCT(1+M5:$M$16)),SUMPRODUCT(PRODUCT(1+M5:$M$15))),4)</f>
        <v>1.0145</v>
      </c>
      <c r="U5" s="3175">
        <f>ROUND(IF(项目基本情况!$B$8="出让",SUMPRODUCT(PRODUCT(1+N5:$N$16)),SUMPRODUCT(PRODUCT(1+N5:$N$15))),4)</f>
        <v>1.0618000000000001</v>
      </c>
      <c r="V5" s="3175">
        <f>ROUND(IF(项目基本情况!$B$8="出让",SUMPRODUCT(PRODUCT(1+O5:$O$16)),SUMPRODUCT(PRODUCT(1+O5:$O$15))),4)</f>
        <v>1.0502</v>
      </c>
      <c r="W5" s="3175">
        <f>T5</f>
        <v>1.0145</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3375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1.0565</v>
      </c>
      <c r="S6" s="3175">
        <f>ROUND(IF(项目基本情况!$B$8="出让",SUMPRODUCT(PRODUCT(1+L6:$L$16)),SUMPRODUCT(PRODUCT(1+L6:$L$15))),4)</f>
        <v>1.0250999999999999</v>
      </c>
      <c r="T6" s="3175">
        <f>ROUND(IF(项目基本情况!$B$8="出让",SUMPRODUCT(PRODUCT(1+M6:$M$16)),SUMPRODUCT(PRODUCT(1+M6:$M$15))),4)</f>
        <v>1.0145</v>
      </c>
      <c r="U6" s="3175">
        <f>ROUND(IF(项目基本情况!$B$8="出让",SUMPRODUCT(PRODUCT(1+N6:$N$16)),SUMPRODUCT(PRODUCT(1+N6:$N$15))),4)</f>
        <v>1.0618000000000001</v>
      </c>
      <c r="V6" s="3175">
        <f>ROUND(IF(项目基本情况!$B$8="出让",SUMPRODUCT(PRODUCT(1+O6:$O$16)),SUMPRODUCT(PRODUCT(1+O6:$O$15))),4)</f>
        <v>1.0502</v>
      </c>
      <c r="W6" s="3175">
        <f t="shared" ref="W6:W8" si="14">T6</f>
        <v>1.0145</v>
      </c>
      <c r="X6" s="3173"/>
      <c r="Y6" s="3176"/>
      <c r="Z6" s="3176"/>
      <c r="AA6" s="3176"/>
      <c r="AB6" s="3176"/>
      <c r="AC6" s="3176"/>
      <c r="AD6" s="3176"/>
    </row>
    <row r="7" spans="1:30" s="3177" customFormat="1" ht="12.75">
      <c r="A7" s="3168" t="s">
        <v>3373</v>
      </c>
      <c r="B7" s="3169">
        <v>2023</v>
      </c>
      <c r="C7" s="3170">
        <v>2</v>
      </c>
      <c r="D7" s="3171">
        <v>0</v>
      </c>
      <c r="E7" s="3171">
        <v>0</v>
      </c>
      <c r="F7" s="3171">
        <v>0</v>
      </c>
      <c r="G7" s="3171">
        <v>0</v>
      </c>
      <c r="H7" s="3171">
        <v>0</v>
      </c>
      <c r="I7" s="3172">
        <f t="shared" si="4"/>
        <v>0</v>
      </c>
      <c r="J7" s="3173"/>
      <c r="K7" s="3174">
        <f t="shared" si="8"/>
        <v>0</v>
      </c>
      <c r="L7" s="3164">
        <f t="shared" si="9"/>
        <v>0</v>
      </c>
      <c r="M7" s="3164">
        <f t="shared" si="10"/>
        <v>0</v>
      </c>
      <c r="N7" s="3164">
        <f t="shared" si="11"/>
        <v>0</v>
      </c>
      <c r="O7" s="3164">
        <f t="shared" si="12"/>
        <v>0</v>
      </c>
      <c r="P7" s="3164">
        <f t="shared" si="13"/>
        <v>0</v>
      </c>
      <c r="Q7" s="3173"/>
      <c r="R7" s="3175">
        <f>ROUND(IF(项目基本情况!$B$8="出让",SUMPRODUCT(PRODUCT(1+K7:$K$16)),SUMPRODUCT(PRODUCT(1+K7:$K$15))),4)</f>
        <v>1.0565</v>
      </c>
      <c r="S7" s="3175">
        <f>ROUND(IF(项目基本情况!$B$8="出让",SUMPRODUCT(PRODUCT(1+L7:$L$16)),SUMPRODUCT(PRODUCT(1+L7:$L$15))),4)</f>
        <v>1.0250999999999999</v>
      </c>
      <c r="T7" s="3175">
        <f>ROUND(IF(项目基本情况!$B$8="出让",SUMPRODUCT(PRODUCT(1+M7:$M$16)),SUMPRODUCT(PRODUCT(1+M7:$M$15))),4)</f>
        <v>1.0145</v>
      </c>
      <c r="U7" s="3175">
        <f>ROUND(IF(项目基本情况!$B$8="出让",SUMPRODUCT(PRODUCT(1+N7:$N$16)),SUMPRODUCT(PRODUCT(1+N7:$N$15))),4)</f>
        <v>1.0618000000000001</v>
      </c>
      <c r="V7" s="3175">
        <f>ROUND(IF(项目基本情况!$B$8="出让",SUMPRODUCT(PRODUCT(1+O7:$O$16)),SUMPRODUCT(PRODUCT(1+O7:$O$15))),4)</f>
        <v>1.0502</v>
      </c>
      <c r="W7" s="3175">
        <f t="shared" si="14"/>
        <v>1.0145</v>
      </c>
      <c r="X7" s="3173"/>
      <c r="Y7" s="3176"/>
      <c r="Z7" s="3176"/>
      <c r="AA7" s="3176"/>
      <c r="AB7" s="3176"/>
      <c r="AC7" s="3176"/>
      <c r="AD7" s="3176"/>
    </row>
    <row r="8" spans="1:30" s="3177" customFormat="1" ht="12.75">
      <c r="A8" s="3168" t="s">
        <v>2820</v>
      </c>
      <c r="B8" s="3169">
        <v>2023</v>
      </c>
      <c r="C8" s="3170">
        <v>1</v>
      </c>
      <c r="D8" s="3171">
        <v>0</v>
      </c>
      <c r="E8" s="3171">
        <v>0</v>
      </c>
      <c r="F8" s="3171">
        <v>0</v>
      </c>
      <c r="G8" s="3171">
        <v>0</v>
      </c>
      <c r="H8" s="3171">
        <v>0</v>
      </c>
      <c r="I8" s="3172">
        <f t="shared" si="4"/>
        <v>0</v>
      </c>
      <c r="J8" s="3173"/>
      <c r="K8" s="3174">
        <f t="shared" si="8"/>
        <v>0</v>
      </c>
      <c r="L8" s="3164">
        <f t="shared" si="9"/>
        <v>0</v>
      </c>
      <c r="M8" s="3164">
        <f t="shared" si="10"/>
        <v>0</v>
      </c>
      <c r="N8" s="3164">
        <f t="shared" si="11"/>
        <v>0</v>
      </c>
      <c r="O8" s="3164">
        <f t="shared" si="12"/>
        <v>0</v>
      </c>
      <c r="P8" s="3164">
        <f t="shared" si="13"/>
        <v>0</v>
      </c>
      <c r="Q8" s="3173"/>
      <c r="R8" s="3175">
        <f>ROUND(IF(项目基本情况!$B$8="出让",SUMPRODUCT(PRODUCT(1+K8:$K$16)),SUMPRODUCT(PRODUCT(1+K8:$K$15))),4)</f>
        <v>1.0565</v>
      </c>
      <c r="S8" s="3175">
        <f>ROUND(IF(项目基本情况!$B$8="出让",SUMPRODUCT(PRODUCT(1+L8:$L$16)),SUMPRODUCT(PRODUCT(1+L8:$L$15))),4)</f>
        <v>1.0250999999999999</v>
      </c>
      <c r="T8" s="3175">
        <f>ROUND(IF(项目基本情况!$B$8="出让",SUMPRODUCT(PRODUCT(1+M8:$M$16)),SUMPRODUCT(PRODUCT(1+M8:$M$15))),4)</f>
        <v>1.0145</v>
      </c>
      <c r="U8" s="3175">
        <f>ROUND(IF(项目基本情况!$B$8="出让",SUMPRODUCT(PRODUCT(1+N8:$N$16)),SUMPRODUCT(PRODUCT(1+N8:$N$15))),4)</f>
        <v>1.0618000000000001</v>
      </c>
      <c r="V8" s="3175">
        <f>ROUND(IF(项目基本情况!$B$8="出让",SUMPRODUCT(PRODUCT(1+O8:$O$16)),SUMPRODUCT(PRODUCT(1+O8:$O$15))),4)</f>
        <v>1.0502</v>
      </c>
      <c r="W8" s="3175">
        <f t="shared" si="14"/>
        <v>1.0145</v>
      </c>
      <c r="X8" s="3173"/>
      <c r="Y8" s="3176"/>
      <c r="Z8" s="3176"/>
      <c r="AA8" s="3176"/>
      <c r="AB8" s="3176"/>
      <c r="AC8" s="3176"/>
      <c r="AD8" s="3176"/>
    </row>
    <row r="9" spans="1:30" s="3187" customFormat="1" ht="12.75">
      <c r="A9" s="3178" t="s">
        <v>2821</v>
      </c>
      <c r="B9" s="3179">
        <v>2022</v>
      </c>
      <c r="C9" s="3180">
        <v>4</v>
      </c>
      <c r="D9" s="3181">
        <v>0.62</v>
      </c>
      <c r="E9" s="3181">
        <v>0.2</v>
      </c>
      <c r="F9" s="3181">
        <v>0.11</v>
      </c>
      <c r="G9" s="3181">
        <v>0.69</v>
      </c>
      <c r="H9" s="3182">
        <v>0.53</v>
      </c>
      <c r="I9" s="3183">
        <f t="shared" si="4"/>
        <v>0.11</v>
      </c>
      <c r="J9" s="3184"/>
      <c r="K9" s="3185">
        <f t="shared" si="5"/>
        <v>6.1999999999999998E-3</v>
      </c>
      <c r="L9" s="3186">
        <f t="shared" si="5"/>
        <v>2E-3</v>
      </c>
      <c r="M9" s="3186">
        <f t="shared" si="5"/>
        <v>1.1000000000000001E-3</v>
      </c>
      <c r="N9" s="3186">
        <f t="shared" si="5"/>
        <v>6.8999999999999999E-3</v>
      </c>
      <c r="O9" s="3186">
        <f t="shared" si="5"/>
        <v>5.3E-3</v>
      </c>
      <c r="P9" s="3186">
        <f t="shared" ref="P9:P16" si="15">M9</f>
        <v>1.1000000000000001E-3</v>
      </c>
      <c r="Q9" s="3184"/>
      <c r="R9" s="3184" t="e">
        <f>ROUND(IF([2]项目基本情况!B8="出让",SUMPRODUCT(PRODUCT(1+K9:K16)),SUMPRODUCT(PRODUCT(1+K9:K15))),4)</f>
        <v>#REF!</v>
      </c>
      <c r="S9" s="3184" t="e">
        <f>ROUND(IF([2]项目基本情况!B8="出让",SUMPRODUCT(PRODUCT(1+L9:L16)),SUMPRODUCT(PRODUCT(1+L9:L15))),4)</f>
        <v>#REF!</v>
      </c>
      <c r="T9" s="3184" t="e">
        <f>ROUND(IF([2]项目基本情况!B8="出让",SUMPRODUCT(PRODUCT(1+M9:M16)),SUMPRODUCT(PRODUCT(1+M9:M15))),4)</f>
        <v>#REF!</v>
      </c>
      <c r="U9" s="3184" t="e">
        <f>ROUND(IF([2]项目基本情况!B8="出让",SUMPRODUCT(PRODUCT(1+N9:N16)),SUMPRODUCT(PRODUCT(1+N9:N15))),4)</f>
        <v>#REF!</v>
      </c>
      <c r="V9" s="3184" t="e">
        <f>ROUND(IF([2]项目基本情况!B8="出让",SUMPRODUCT(PRODUCT(1+O9:O16)),SUMPRODUCT(PRODUCT(1+O9:O15))),4)</f>
        <v>#REF!</v>
      </c>
      <c r="W9" s="3184" t="e">
        <f t="shared" ref="W9:W16" si="16">T9</f>
        <v>#REF!</v>
      </c>
      <c r="X9" s="3184"/>
      <c r="Y9" s="3186">
        <f>IF(D9=0,0,ROUND(AVERAGE(D9:D17)/100,4))</f>
        <v>8.0999999999999996E-3</v>
      </c>
      <c r="Z9" s="3186">
        <f t="shared" ref="Z9:AC9" si="17">IF(E9=0,0,ROUND(AVERAGE(E9:E16)/100,4))</f>
        <v>3.3E-3</v>
      </c>
      <c r="AA9" s="3186">
        <f t="shared" si="17"/>
        <v>1.5E-3</v>
      </c>
      <c r="AB9" s="3186">
        <f t="shared" si="17"/>
        <v>8.8999999999999999E-3</v>
      </c>
      <c r="AC9" s="3186">
        <f t="shared" si="17"/>
        <v>6.6E-3</v>
      </c>
      <c r="AD9" s="3186">
        <f t="shared" si="7"/>
        <v>1.5E-3</v>
      </c>
    </row>
    <row r="10" spans="1:30" s="3177" customFormat="1" ht="12.75">
      <c r="A10" s="3168" t="s">
        <v>3368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t="e">
        <f>ROUND(IF([2]项目基本情况!B8="出让",SUMPRODUCT(PRODUCT(1+K10:K16)),SUMPRODUCT(PRODUCT(1+K10:K15))),4)</f>
        <v>#REF!</v>
      </c>
      <c r="S10" s="3175" t="e">
        <f>ROUND(IF([2]项目基本情况!B8="出让",SUMPRODUCT(PRODUCT(1+L10:L16)),SUMPRODUCT(PRODUCT(1+L10:L15))),4)</f>
        <v>#REF!</v>
      </c>
      <c r="T10" s="3175" t="e">
        <f>ROUND(IF([2]项目基本情况!B8="出让",SUMPRODUCT(PRODUCT(1+M10:M16)),SUMPRODUCT(PRODUCT(1+M10:M15))),4)</f>
        <v>#REF!</v>
      </c>
      <c r="U10" s="3175" t="e">
        <f>ROUND(IF([2]项目基本情况!B8="出让",SUMPRODUCT(PRODUCT(1+N10:N16)),SUMPRODUCT(PRODUCT(1+N10:N15))),4)</f>
        <v>#REF!</v>
      </c>
      <c r="V10" s="3175" t="e">
        <f>ROUND(IF([2]项目基本情况!B8="出让",SUMPRODUCT(PRODUCT(1+O10:O16)),SUMPRODUCT(PRODUCT(1+O10:O15))),4)</f>
        <v>#REF!</v>
      </c>
      <c r="W10" s="3175" t="e">
        <f t="shared" si="16"/>
        <v>#REF!</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t="e">
        <f>ROUND(IF([2]项目基本情况!B8="出让",SUMPRODUCT(PRODUCT(1+K11:K16)),SUMPRODUCT(PRODUCT(1+K11:K15))),4)</f>
        <v>#REF!</v>
      </c>
      <c r="S11" s="3175" t="e">
        <f>ROUND(IF([2]项目基本情况!B8="出让",SUMPRODUCT(PRODUCT(1+L11:L16)),SUMPRODUCT(PRODUCT(1+L11:L15))),4)</f>
        <v>#REF!</v>
      </c>
      <c r="T11" s="3175" t="e">
        <f>ROUND(IF([2]项目基本情况!B8="出让",SUMPRODUCT(PRODUCT(1+M11:M16)),SUMPRODUCT(PRODUCT(1+M11:M15))),4)</f>
        <v>#REF!</v>
      </c>
      <c r="U11" s="3175" t="e">
        <f>ROUND(IF([2]项目基本情况!B8="出让",SUMPRODUCT(PRODUCT(1+N11:N16)),SUMPRODUCT(PRODUCT(1+N11:N15))),4)</f>
        <v>#REF!</v>
      </c>
      <c r="V11" s="3175" t="e">
        <f>ROUND(IF([2]项目基本情况!B8="出让",SUMPRODUCT(PRODUCT(1+O11:O16)),SUMPRODUCT(PRODUCT(1+O11:O15))),4)</f>
        <v>#REF!</v>
      </c>
      <c r="W11" s="3175" t="e">
        <f t="shared" si="16"/>
        <v>#REF!</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2822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t="e">
        <f>ROUND(IF([2]项目基本情况!B8="出让",SUMPRODUCT(PRODUCT(1+K12:K16)),SUMPRODUCT(PRODUCT(1+K12:K15))),4)</f>
        <v>#REF!</v>
      </c>
      <c r="S12" s="3175" t="e">
        <f>ROUND(IF([2]项目基本情况!B8="出让",SUMPRODUCT(PRODUCT(1+L12:L16)),SUMPRODUCT(PRODUCT(1+L12:L15))),4)</f>
        <v>#REF!</v>
      </c>
      <c r="T12" s="3175" t="e">
        <f>ROUND(IF([2]项目基本情况!B8="出让",SUMPRODUCT(PRODUCT(1+M12:M16)),SUMPRODUCT(PRODUCT(1+M12:M15))),4)</f>
        <v>#REF!</v>
      </c>
      <c r="U12" s="3175" t="e">
        <f>ROUND(IF([2]项目基本情况!B8="出让",SUMPRODUCT(PRODUCT(1+N12:N16)),SUMPRODUCT(PRODUCT(1+N12:N15))),4)</f>
        <v>#REF!</v>
      </c>
      <c r="V12" s="3175" t="e">
        <f>ROUND(IF([2]项目基本情况!B8="出让",SUMPRODUCT(PRODUCT(1+O12:O16)),SUMPRODUCT(PRODUCT(1+O12:O15))),4)</f>
        <v>#REF!</v>
      </c>
      <c r="W12" s="3175" t="e">
        <f t="shared" si="16"/>
        <v>#REF!</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2823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t="e">
        <f>ROUND(IF([2]项目基本情况!B8="出让",SUMPRODUCT(PRODUCT(1+K13:K16)),SUMPRODUCT(PRODUCT(1+K13:K15))),4)</f>
        <v>#REF!</v>
      </c>
      <c r="S13" s="3175" t="e">
        <f>ROUND(IF([2]项目基本情况!B8="出让",SUMPRODUCT(PRODUCT(1+L13:L16)),SUMPRODUCT(PRODUCT(1+L13:L15))),4)</f>
        <v>#REF!</v>
      </c>
      <c r="T13" s="3175" t="e">
        <f>ROUND(IF([2]项目基本情况!B8="出让",SUMPRODUCT(PRODUCT(1+M13:M16)),SUMPRODUCT(PRODUCT(1+M13:M15))),4)</f>
        <v>#REF!</v>
      </c>
      <c r="U13" s="3175" t="e">
        <f>ROUND(IF([2]项目基本情况!B8="出让",SUMPRODUCT(PRODUCT(1+N13:N16)),SUMPRODUCT(PRODUCT(1+N13:N15))),4)</f>
        <v>#REF!</v>
      </c>
      <c r="V13" s="3175" t="e">
        <f>ROUND(IF([2]项目基本情况!B8="出让",SUMPRODUCT(PRODUCT(1+O13:O16)),SUMPRODUCT(PRODUCT(1+O13:O15))),4)</f>
        <v>#REF!</v>
      </c>
      <c r="W13" s="3175" t="e">
        <f t="shared" si="16"/>
        <v>#REF!</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2824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t="e">
        <f>ROUND(IF([2]项目基本情况!B8="出让",SUMPRODUCT(PRODUCT(1+K14:K16)),SUMPRODUCT(PRODUCT(1+K14:K15))),4)</f>
        <v>#REF!</v>
      </c>
      <c r="S14" s="3175" t="e">
        <f>ROUND(IF([2]项目基本情况!B8="出让",SUMPRODUCT(PRODUCT(1+L14:L16)),SUMPRODUCT(PRODUCT(1+L14:L15))),4)</f>
        <v>#REF!</v>
      </c>
      <c r="T14" s="3175" t="e">
        <f>ROUND(IF([2]项目基本情况!B8="出让",SUMPRODUCT(PRODUCT(1+M14:M16)),SUMPRODUCT(PRODUCT(1+M14:M15))),4)</f>
        <v>#REF!</v>
      </c>
      <c r="U14" s="3175" t="e">
        <f>ROUND(IF([2]项目基本情况!B8="出让",SUMPRODUCT(PRODUCT(1+N14:N16)),SUMPRODUCT(PRODUCT(1+N14:N15))),4)</f>
        <v>#REF!</v>
      </c>
      <c r="V14" s="3175" t="e">
        <f>ROUND(IF([2]项目基本情况!B8="出让",SUMPRODUCT(PRODUCT(1+O14:O16)),SUMPRODUCT(PRODUCT(1+O14:O15))),4)</f>
        <v>#REF!</v>
      </c>
      <c r="W14" s="3175" t="e">
        <f t="shared" si="16"/>
        <v>#REF!</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2825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t="e">
        <f>ROUND(IF([2]项目基本情况!B8="出让",SUMPRODUCT(PRODUCT(1+K15:K16)),SUMPRODUCT(PRODUCT(1+K15:K15))),4)</f>
        <v>#REF!</v>
      </c>
      <c r="S15" s="3175" t="e">
        <f>ROUND(IF([2]项目基本情况!B8="出让",SUMPRODUCT(PRODUCT(1+L15:L16)),SUMPRODUCT(PRODUCT(1+L15:L15))),4)</f>
        <v>#REF!</v>
      </c>
      <c r="T15" s="3175" t="e">
        <f>ROUND(IF([2]项目基本情况!B8="出让",SUMPRODUCT(PRODUCT(1+M15:M16)),SUMPRODUCT(PRODUCT(1+M15:M15))),4)</f>
        <v>#REF!</v>
      </c>
      <c r="U15" s="3175" t="e">
        <f>ROUND(IF([2]项目基本情况!B8="出让",SUMPRODUCT(PRODUCT(1+N15:N16)),SUMPRODUCT(PRODUCT(1+N15:N15))),4)</f>
        <v>#REF!</v>
      </c>
      <c r="V15" s="3175" t="e">
        <f>ROUND(IF([2]项目基本情况!B8="出让",SUMPRODUCT(PRODUCT(1+O15:O16)),SUMPRODUCT(PRODUCT(1+O15:O15))),4)</f>
        <v>#REF!</v>
      </c>
      <c r="W15" s="3175" t="e">
        <f t="shared" si="16"/>
        <v>#REF!</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ht="13.5" thickBot="1">
      <c r="A16" s="3189" t="s">
        <v>2826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5" thickTop="1"/>
    <row r="18" spans="1:30" s="3001" customFormat="1">
      <c r="A18" s="3440" t="s">
        <v>3371</v>
      </c>
    </row>
    <row r="19" spans="1:30" s="3001" customFormat="1">
      <c r="I19" s="3200" t="s">
        <v>2827</v>
      </c>
    </row>
    <row r="20" spans="1:30" s="3001" customFormat="1"/>
    <row r="21" spans="1:30" s="3201" customFormat="1" ht="12.75">
      <c r="B21" s="3202" t="s">
        <v>2828</v>
      </c>
      <c r="C21" s="3203"/>
      <c r="D21" s="3203"/>
      <c r="E21" s="3203"/>
      <c r="F21" s="3203"/>
      <c r="G21" s="3203"/>
      <c r="H21" s="3203"/>
      <c r="I21" s="3203"/>
      <c r="J21" s="3157"/>
      <c r="K21" s="3203" t="s">
        <v>2829</v>
      </c>
      <c r="L21" s="3203"/>
      <c r="M21" s="3203"/>
      <c r="N21" s="3203"/>
      <c r="O21" s="3203"/>
      <c r="P21" s="3203"/>
      <c r="Q21" s="3157"/>
      <c r="R21" s="3736" t="s">
        <v>2830</v>
      </c>
      <c r="S21" s="3737"/>
      <c r="T21" s="3737"/>
      <c r="U21" s="3737"/>
      <c r="V21" s="3737"/>
      <c r="W21" s="3737"/>
      <c r="X21" s="3157"/>
      <c r="Y21" s="3736" t="s">
        <v>2831</v>
      </c>
      <c r="Z21" s="3737"/>
      <c r="AA21" s="3737"/>
      <c r="AB21" s="3737"/>
      <c r="AC21" s="3737"/>
      <c r="AD21" s="3737"/>
    </row>
    <row r="22" spans="1:30" s="3135" customFormat="1" thickBot="1">
      <c r="B22" s="3136"/>
      <c r="C22" s="3137"/>
      <c r="D22" s="3138" t="s">
        <v>2832</v>
      </c>
      <c r="E22" s="3139" t="s">
        <v>2833</v>
      </c>
      <c r="F22" s="3139" t="s">
        <v>2834</v>
      </c>
      <c r="G22" s="3139" t="s">
        <v>2835</v>
      </c>
      <c r="H22" s="3139"/>
      <c r="I22" s="3139" t="s">
        <v>2836</v>
      </c>
      <c r="J22" s="3140"/>
      <c r="K22" s="3138" t="s">
        <v>2832</v>
      </c>
      <c r="L22" s="3139" t="s">
        <v>2833</v>
      </c>
      <c r="M22" s="3139" t="s">
        <v>2834</v>
      </c>
      <c r="N22" s="3139" t="s">
        <v>2835</v>
      </c>
      <c r="O22" s="3139"/>
      <c r="P22" s="3139" t="s">
        <v>2836</v>
      </c>
      <c r="Q22" s="3140"/>
      <c r="R22" s="3138" t="s">
        <v>2832</v>
      </c>
      <c r="S22" s="3139" t="s">
        <v>2833</v>
      </c>
      <c r="T22" s="3139" t="s">
        <v>2834</v>
      </c>
      <c r="U22" s="3139" t="s">
        <v>2835</v>
      </c>
      <c r="V22" s="3139"/>
      <c r="W22" s="3139" t="s">
        <v>2836</v>
      </c>
      <c r="X22" s="3140"/>
      <c r="Y22" s="3138" t="s">
        <v>2832</v>
      </c>
      <c r="Z22" s="3139" t="s">
        <v>2833</v>
      </c>
      <c r="AA22" s="3139" t="s">
        <v>2834</v>
      </c>
      <c r="AB22" s="3139" t="s">
        <v>2835</v>
      </c>
      <c r="AC22" s="3139"/>
      <c r="AD22" s="3139" t="s">
        <v>2836</v>
      </c>
    </row>
    <row r="23" spans="1:30" s="3153" customFormat="1" ht="12.75">
      <c r="A23" s="3141" t="s">
        <v>2837</v>
      </c>
      <c r="B23" s="3142"/>
      <c r="C23" s="3143"/>
      <c r="D23" s="3143"/>
      <c r="E23" s="3143">
        <f t="shared" ref="E23:G23" si="22">ROUND(AVERAGEIF(E24:E36,"&lt;&gt;0"),2)</f>
        <v>0.4</v>
      </c>
      <c r="F23" s="3143">
        <f t="shared" si="22"/>
        <v>0.26</v>
      </c>
      <c r="G23" s="3143">
        <f t="shared" si="22"/>
        <v>0.74</v>
      </c>
      <c r="H23" s="3143"/>
      <c r="I23" s="3143">
        <f>F23</f>
        <v>0.26</v>
      </c>
      <c r="J23" s="3144"/>
      <c r="K23" s="3145"/>
      <c r="L23" s="3146">
        <f t="shared" ref="L23:N23" si="23">ROUND(AVERAGEIF(L24:L36,"&lt;&gt;0"),4)</f>
        <v>4.0000000000000001E-3</v>
      </c>
      <c r="M23" s="3146">
        <f t="shared" si="23"/>
        <v>2.5999999999999999E-3</v>
      </c>
      <c r="N23" s="3146">
        <f t="shared" si="23"/>
        <v>7.4000000000000003E-3</v>
      </c>
      <c r="O23" s="3146"/>
      <c r="P23" s="3146">
        <f>M23</f>
        <v>2.5999999999999999E-3</v>
      </c>
      <c r="Q23" s="3144"/>
      <c r="R23" s="3147"/>
      <c r="S23" s="3148">
        <f>ROUND(SUMPRODUCT(PRODUCT(1+L24:L36)),4)</f>
        <v>1.0323</v>
      </c>
      <c r="T23" s="3148">
        <f t="shared" ref="T23:U23" si="24">ROUND(SUMPRODUCT(PRODUCT(1+M24:M36)),4)</f>
        <v>1.0213000000000001</v>
      </c>
      <c r="U23" s="3148">
        <f t="shared" si="24"/>
        <v>1.0609</v>
      </c>
      <c r="V23" s="3148"/>
      <c r="W23" s="3147">
        <f>T23</f>
        <v>1.0213000000000001</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3374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t="e">
        <f>ROUND(IF([2]项目基本情况!$B$8="出让",SUMPRODUCT(PRODUCT(1+L25:L$36)),SUMPRODUCT(PRODUCT(1+L25:L$35))),4)</f>
        <v>#REF!</v>
      </c>
      <c r="T25" s="3175" t="e">
        <f>ROUND(IF([2]项目基本情况!$B$8="出让",SUMPRODUCT(PRODUCT(1+M25:M$36)),SUMPRODUCT(PRODUCT(1+M25:M$35))),4)</f>
        <v>#REF!</v>
      </c>
      <c r="U25" s="3175" t="e">
        <f>ROUND(IF([2]项目基本情况!$B$8="出让",SUMPRODUCT(PRODUCT(1+N25:N$36)),SUMPRODUCT(PRODUCT(1+N25:N$35))),4)</f>
        <v>#REF!</v>
      </c>
      <c r="V25" s="3175"/>
      <c r="W25" s="3175" t="e">
        <f>T25</f>
        <v>#REF!</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3375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t="e">
        <f>ROUND(IF([2]项目基本情况!$B$8="出让",SUMPRODUCT(PRODUCT(1+L26:L$36)),SUMPRODUCT(PRODUCT(1+L26:L$35))),4)</f>
        <v>#REF!</v>
      </c>
      <c r="T26" s="3175" t="e">
        <f>ROUND(IF([2]项目基本情况!$B$8="出让",SUMPRODUCT(PRODUCT(1+M26:M$36)),SUMPRODUCT(PRODUCT(1+M26:M$35))),4)</f>
        <v>#REF!</v>
      </c>
      <c r="U26" s="3175" t="e">
        <f>ROUND(IF([2]项目基本情况!$B$8="出让",SUMPRODUCT(PRODUCT(1+N26:N$36)),SUMPRODUCT(PRODUCT(1+N26:N$35))),4)</f>
        <v>#REF!</v>
      </c>
      <c r="V26" s="3175"/>
      <c r="W26" s="3175" t="e">
        <f t="shared" ref="W26:W28" si="32">T26</f>
        <v>#REF!</v>
      </c>
      <c r="X26" s="3173"/>
      <c r="Y26" s="3176"/>
      <c r="Z26" s="3204"/>
      <c r="AA26" s="3441"/>
      <c r="AB26" s="3441"/>
      <c r="AC26" s="3205"/>
      <c r="AD26" s="3176"/>
    </row>
    <row r="27" spans="1:30" s="3177" customFormat="1" ht="12.75">
      <c r="A27" s="3168" t="s">
        <v>3373</v>
      </c>
      <c r="B27" s="3169">
        <v>2023</v>
      </c>
      <c r="C27" s="3170">
        <v>2</v>
      </c>
      <c r="D27" s="3171"/>
      <c r="E27" s="3171">
        <v>0</v>
      </c>
      <c r="F27" s="3171">
        <v>0</v>
      </c>
      <c r="G27" s="3171">
        <v>0</v>
      </c>
      <c r="H27" s="3188"/>
      <c r="I27" s="3172">
        <f t="shared" si="26"/>
        <v>0</v>
      </c>
      <c r="J27" s="3173"/>
      <c r="K27" s="3174"/>
      <c r="L27" s="3164">
        <f t="shared" si="28"/>
        <v>0</v>
      </c>
      <c r="M27" s="3164">
        <f t="shared" si="29"/>
        <v>0</v>
      </c>
      <c r="N27" s="3164">
        <f t="shared" si="30"/>
        <v>0</v>
      </c>
      <c r="O27" s="3164"/>
      <c r="P27" s="3164">
        <f t="shared" si="31"/>
        <v>0</v>
      </c>
      <c r="Q27" s="3173"/>
      <c r="R27" s="3175"/>
      <c r="S27" s="3175" t="e">
        <f>ROUND(IF([2]项目基本情况!$B$8="出让",SUMPRODUCT(PRODUCT(1+L27:L$36)),SUMPRODUCT(PRODUCT(1+L27:L$35))),4)</f>
        <v>#REF!</v>
      </c>
      <c r="T27" s="3175" t="e">
        <f>ROUND(IF([2]项目基本情况!$B$8="出让",SUMPRODUCT(PRODUCT(1+M27:M$36)),SUMPRODUCT(PRODUCT(1+M27:M$35))),4)</f>
        <v>#REF!</v>
      </c>
      <c r="U27" s="3175" t="e">
        <f>ROUND(IF([2]项目基本情况!$B$8="出让",SUMPRODUCT(PRODUCT(1+N27:N$36)),SUMPRODUCT(PRODUCT(1+N27:N$35))),4)</f>
        <v>#REF!</v>
      </c>
      <c r="V27" s="3175"/>
      <c r="W27" s="3175" t="e">
        <f t="shared" si="32"/>
        <v>#REF!</v>
      </c>
      <c r="X27" s="3173"/>
      <c r="Y27" s="3176"/>
      <c r="Z27" s="3204"/>
      <c r="AA27" s="3441"/>
      <c r="AB27" s="3441"/>
      <c r="AC27" s="3205"/>
      <c r="AD27" s="3176"/>
    </row>
    <row r="28" spans="1:30" s="3177" customFormat="1" ht="12.75">
      <c r="A28" s="3168" t="s">
        <v>2820</v>
      </c>
      <c r="B28" s="3169">
        <v>2023</v>
      </c>
      <c r="C28" s="3170">
        <v>1</v>
      </c>
      <c r="D28" s="3171"/>
      <c r="E28" s="3171">
        <v>0</v>
      </c>
      <c r="F28" s="3171">
        <v>0</v>
      </c>
      <c r="G28" s="3171">
        <v>0</v>
      </c>
      <c r="H28" s="3188"/>
      <c r="I28" s="3172">
        <f t="shared" si="26"/>
        <v>0</v>
      </c>
      <c r="J28" s="3173"/>
      <c r="K28" s="3174"/>
      <c r="L28" s="3164">
        <f t="shared" si="28"/>
        <v>0</v>
      </c>
      <c r="M28" s="3164">
        <f t="shared" si="29"/>
        <v>0</v>
      </c>
      <c r="N28" s="3164">
        <f t="shared" si="30"/>
        <v>0</v>
      </c>
      <c r="O28" s="3164"/>
      <c r="P28" s="3164">
        <f t="shared" si="31"/>
        <v>0</v>
      </c>
      <c r="Q28" s="3173"/>
      <c r="R28" s="3175"/>
      <c r="S28" s="3175" t="e">
        <f>ROUND(IF([2]项目基本情况!$B$8="出让",SUMPRODUCT(PRODUCT(1+L28:L$36)),SUMPRODUCT(PRODUCT(1+L28:L$35))),4)</f>
        <v>#REF!</v>
      </c>
      <c r="T28" s="3175" t="e">
        <f>ROUND(IF([2]项目基本情况!$B$8="出让",SUMPRODUCT(PRODUCT(1+M28:M$36)),SUMPRODUCT(PRODUCT(1+M28:M$35))),4)</f>
        <v>#REF!</v>
      </c>
      <c r="U28" s="3175" t="e">
        <f>ROUND(IF([2]项目基本情况!$B$8="出让",SUMPRODUCT(PRODUCT(1+N28:N$36)),SUMPRODUCT(PRODUCT(1+N28:N$35))),4)</f>
        <v>#REF!</v>
      </c>
      <c r="V28" s="3175"/>
      <c r="W28" s="3175" t="e">
        <f t="shared" si="32"/>
        <v>#REF!</v>
      </c>
      <c r="X28" s="3173"/>
      <c r="Y28" s="3176"/>
      <c r="Z28" s="3204"/>
      <c r="AA28" s="3441"/>
      <c r="AB28" s="3441"/>
      <c r="AC28" s="3205"/>
      <c r="AD28" s="3176"/>
    </row>
    <row r="29" spans="1:30" s="3187" customFormat="1" ht="12.75">
      <c r="A29" s="3178" t="s">
        <v>3369</v>
      </c>
      <c r="B29" s="3179">
        <v>2022</v>
      </c>
      <c r="C29" s="3180">
        <v>4</v>
      </c>
      <c r="D29" s="3181"/>
      <c r="E29" s="3181">
        <v>0.45</v>
      </c>
      <c r="F29" s="3181">
        <v>0.2</v>
      </c>
      <c r="G29" s="3181">
        <v>0.38</v>
      </c>
      <c r="H29" s="3182"/>
      <c r="I29" s="3183">
        <f t="shared" si="26"/>
        <v>0.2</v>
      </c>
      <c r="J29" s="3184"/>
      <c r="K29" s="3185"/>
      <c r="L29" s="3186">
        <f t="shared" si="27"/>
        <v>4.5000000000000005E-3</v>
      </c>
      <c r="M29" s="3186">
        <f t="shared" si="27"/>
        <v>2E-3</v>
      </c>
      <c r="N29" s="3186">
        <f t="shared" si="27"/>
        <v>3.8E-3</v>
      </c>
      <c r="O29" s="3186"/>
      <c r="P29" s="3186">
        <f t="shared" ref="P29:P36" si="33">M29</f>
        <v>2E-3</v>
      </c>
      <c r="Q29" s="3184"/>
      <c r="R29" s="3184"/>
      <c r="S29" s="3184" t="e">
        <f>ROUND(IF([2]项目基本情况!$B$8="出让",SUMPRODUCT(PRODUCT(1+L29:L$36)),SUMPRODUCT(PRODUCT(1+L29:L$35))),4)</f>
        <v>#REF!</v>
      </c>
      <c r="T29" s="3184" t="e">
        <f>ROUND(IF([2]项目基本情况!$B$8="出让",SUMPRODUCT(PRODUCT(1+M29:M$36)),SUMPRODUCT(PRODUCT(1+M29:M$35))),4)</f>
        <v>#REF!</v>
      </c>
      <c r="U29" s="3184" t="e">
        <f>ROUND(IF([2]项目基本情况!$B$8="出让",SUMPRODUCT(PRODUCT(1+N29:N$36)),SUMPRODUCT(PRODUCT(1+N29:N$35))),4)</f>
        <v>#REF!</v>
      </c>
      <c r="V29" s="3184"/>
      <c r="W29" s="3184" t="e">
        <f t="shared" ref="W29:W36" si="34">T29</f>
        <v>#REF!</v>
      </c>
      <c r="X29" s="3184"/>
      <c r="Y29" s="3186"/>
      <c r="Z29" s="3207">
        <f t="shared" ref="Z29:AD36" si="35">IF(E29=0,0,ROUND(AVERAGE(E29:E37)/100,4))</f>
        <v>4.0000000000000001E-3</v>
      </c>
      <c r="AA29" s="3208">
        <f t="shared" si="35"/>
        <v>2.5999999999999999E-3</v>
      </c>
      <c r="AB29" s="3186">
        <f t="shared" si="35"/>
        <v>7.4000000000000003E-3</v>
      </c>
      <c r="AC29" s="3209"/>
      <c r="AD29" s="3186">
        <f t="shared" si="35"/>
        <v>2.5999999999999999E-3</v>
      </c>
    </row>
    <row r="30" spans="1:30" s="3177" customFormat="1" ht="12.75">
      <c r="A30" s="3168" t="s">
        <v>3370</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t="e">
        <f>ROUND(IF([2]项目基本情况!$B$8="出让",SUMPRODUCT(PRODUCT(1+L30:L$36)),SUMPRODUCT(PRODUCT(1+L30:L$35))),4)</f>
        <v>#REF!</v>
      </c>
      <c r="T30" s="3175" t="e">
        <f>ROUND(IF([2]项目基本情况!$B$8="出让",SUMPRODUCT(PRODUCT(1+M30:M$36)),SUMPRODUCT(PRODUCT(1+M30:M$35))),4)</f>
        <v>#REF!</v>
      </c>
      <c r="U30" s="3175" t="e">
        <f>ROUND(IF([2]项目基本情况!$B$8="出让",SUMPRODUCT(PRODUCT(1+N30:N$36)),SUMPRODUCT(PRODUCT(1+N30:N$35))),4)</f>
        <v>#REF!</v>
      </c>
      <c r="V30" s="3175"/>
      <c r="W30" s="3175" t="e">
        <f t="shared" si="34"/>
        <v>#REF!</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t="e">
        <f>ROUND(IF([2]项目基本情况!$B$8="出让",SUMPRODUCT(PRODUCT(1+L31:L$36)),SUMPRODUCT(PRODUCT(1+L31:L$35))),4)</f>
        <v>#REF!</v>
      </c>
      <c r="T31" s="3175" t="e">
        <f>ROUND(IF([2]项目基本情况!$B$8="出让",SUMPRODUCT(PRODUCT(1+M31:M$36)),SUMPRODUCT(PRODUCT(1+M31:M$35))),4)</f>
        <v>#REF!</v>
      </c>
      <c r="U31" s="3175" t="e">
        <f>ROUND(IF([2]项目基本情况!$B$8="出让",SUMPRODUCT(PRODUCT(1+N31:N$36)),SUMPRODUCT(PRODUCT(1+N31:N$35))),4)</f>
        <v>#REF!</v>
      </c>
      <c r="V31" s="3175"/>
      <c r="W31" s="3175" t="e">
        <f t="shared" si="34"/>
        <v>#REF!</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t="e">
        <f>ROUND(IF([2]项目基本情况!$B$8="出让",SUMPRODUCT(PRODUCT(1+L32:L$36)),SUMPRODUCT(PRODUCT(1+L32:L$35))),4)</f>
        <v>#REF!</v>
      </c>
      <c r="T32" s="3175" t="e">
        <f>ROUND(IF([2]项目基本情况!$B$8="出让",SUMPRODUCT(PRODUCT(1+M32:M$36)),SUMPRODUCT(PRODUCT(1+M32:M$35))),4)</f>
        <v>#REF!</v>
      </c>
      <c r="U32" s="3175" t="e">
        <f>ROUND(IF([2]项目基本情况!$B$8="出让",SUMPRODUCT(PRODUCT(1+N32:N$36)),SUMPRODUCT(PRODUCT(1+N32:N$35))),4)</f>
        <v>#REF!</v>
      </c>
      <c r="V32" s="3175"/>
      <c r="W32" s="3175" t="e">
        <f t="shared" si="34"/>
        <v>#REF!</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t="e">
        <f>ROUND(IF([2]项目基本情况!$B$8="出让",SUMPRODUCT(PRODUCT(1+L33:L$36)),SUMPRODUCT(PRODUCT(1+L33:L$35))),4)</f>
        <v>#REF!</v>
      </c>
      <c r="T33" s="3175" t="e">
        <f>ROUND(IF([2]项目基本情况!$B$8="出让",SUMPRODUCT(PRODUCT(1+M33:M$36)),SUMPRODUCT(PRODUCT(1+M33:M$35))),4)</f>
        <v>#REF!</v>
      </c>
      <c r="U33" s="3175" t="e">
        <f>ROUND(IF([2]项目基本情况!$B$8="出让",SUMPRODUCT(PRODUCT(1+N33:N$36)),SUMPRODUCT(PRODUCT(1+N33:N$35))),4)</f>
        <v>#REF!</v>
      </c>
      <c r="V33" s="3175"/>
      <c r="W33" s="3175" t="e">
        <f t="shared" si="34"/>
        <v>#REF!</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2840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t="e">
        <f>ROUND(IF([2]项目基本情况!$B$8="出让",SUMPRODUCT(PRODUCT(1+L34:L$36)),SUMPRODUCT(PRODUCT(1+L34:L$35))),4)</f>
        <v>#REF!</v>
      </c>
      <c r="T34" s="3175" t="e">
        <f>ROUND(IF([2]项目基本情况!$B$8="出让",SUMPRODUCT(PRODUCT(1+M34:M$36)),SUMPRODUCT(PRODUCT(1+M34:M$35))),4)</f>
        <v>#REF!</v>
      </c>
      <c r="U34" s="3175" t="e">
        <f>ROUND(IF([2]项目基本情况!$B$8="出让",SUMPRODUCT(PRODUCT(1+N34:N$36)),SUMPRODUCT(PRODUCT(1+N34:N$35))),4)</f>
        <v>#REF!</v>
      </c>
      <c r="V34" s="3175"/>
      <c r="W34" s="3175" t="e">
        <f t="shared" si="34"/>
        <v>#REF!</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2841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t="e">
        <f>ROUND(IF([2]项目基本情况!$B$8="出让",SUMPRODUCT(PRODUCT(1+L35:L$36)),SUMPRODUCT(PRODUCT(1+L35:L$35))),4)</f>
        <v>#REF!</v>
      </c>
      <c r="T35" s="3175" t="e">
        <f>ROUND(IF([2]项目基本情况!$B$8="出让",SUMPRODUCT(PRODUCT(1+M35:M$36)),SUMPRODUCT(PRODUCT(1+M35:M$35))),4)</f>
        <v>#REF!</v>
      </c>
      <c r="U35" s="3175" t="e">
        <f>ROUND(IF([2]项目基本情况!$B$8="出让",SUMPRODUCT(PRODUCT(1+N35:N$36)),SUMPRODUCT(PRODUCT(1+N35:N$35))),4)</f>
        <v>#REF!</v>
      </c>
      <c r="V35" s="3175"/>
      <c r="W35" s="3175" t="e">
        <f t="shared" si="34"/>
        <v>#REF!</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ht="13.5" thickBot="1">
      <c r="A36" s="3189" t="s">
        <v>2826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5" thickTop="1"/>
    <row r="38" spans="1:30">
      <c r="A38" s="3440"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H123"/>
  <sheetViews>
    <sheetView zoomScale="80" zoomScaleNormal="80" workbookViewId="0">
      <selection activeCell="A13" sqref="A13:XFD13"/>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1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1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743" t="s">
        <v>452</v>
      </c>
      <c r="C1" s="3743"/>
      <c r="D1" s="3743"/>
      <c r="E1" s="3743"/>
      <c r="F1" s="3743"/>
      <c r="G1" s="3739" t="s">
        <v>453</v>
      </c>
      <c r="H1" s="3739"/>
      <c r="I1" s="3739"/>
      <c r="J1" s="3739"/>
      <c r="K1" s="3739"/>
      <c r="L1" s="3739"/>
      <c r="N1" s="3739" t="s">
        <v>454</v>
      </c>
      <c r="O1" s="3739"/>
      <c r="P1" s="3739"/>
      <c r="Q1" s="3739"/>
      <c r="S1" s="3739" t="s">
        <v>455</v>
      </c>
      <c r="T1" s="3739"/>
      <c r="U1" s="3739"/>
      <c r="V1" s="3739"/>
      <c r="X1" s="3738" t="s">
        <v>456</v>
      </c>
      <c r="Y1" s="3739"/>
      <c r="Z1" s="3739"/>
      <c r="AA1" s="3739"/>
      <c r="AB1" s="3739"/>
      <c r="AD1" s="3738" t="s">
        <v>457</v>
      </c>
      <c r="AE1" s="3739"/>
      <c r="AF1" s="3739"/>
      <c r="AG1" s="3739"/>
      <c r="AH1" s="3739"/>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2114</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3367</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3364</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2115</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3365</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3366</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2130</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2128</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2127</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2126</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2124</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2123</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2125</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41">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2121</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41"/>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2120</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41"/>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2113</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748"/>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2111</v>
      </c>
      <c r="B25" s="2213">
        <v>439</v>
      </c>
      <c r="C25" s="2213">
        <v>327</v>
      </c>
      <c r="D25" s="2213">
        <f>C25</f>
        <v>327</v>
      </c>
      <c r="E25" s="2213">
        <v>627</v>
      </c>
      <c r="F25" s="2214">
        <v>283</v>
      </c>
      <c r="G25" s="3744">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2112</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41"/>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741"/>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748"/>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744">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41"/>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41"/>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42"/>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40">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41"/>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41"/>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42"/>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40">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41"/>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41"/>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42"/>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745">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746"/>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746"/>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747"/>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40">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41"/>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41"/>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42"/>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40">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41">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41">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42">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40">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41">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41">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42">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40">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41">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41">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42">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40">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41">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41">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42">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40">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41">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41">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42">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40">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41">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41">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42">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40">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41">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41">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42">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40">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41">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41">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42">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40">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41">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41">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42">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40">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41">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41">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42">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14"/>
  <sheetViews>
    <sheetView workbookViewId="0">
      <selection activeCell="P23" sqref="P23"/>
    </sheetView>
  </sheetViews>
  <sheetFormatPr defaultColWidth="11" defaultRowHeight="14.25"/>
  <cols>
    <col min="1" max="1" width="3.875" customWidth="1"/>
    <col min="2" max="2" width="16.375" customWidth="1"/>
    <col min="8" max="8" width="4.5" customWidth="1"/>
    <col min="9" max="10" width="6.625" customWidth="1"/>
    <col min="12" max="12" width="8.375" hidden="1" customWidth="1"/>
    <col min="13" max="13" width="0" hidden="1" customWidth="1"/>
  </cols>
  <sheetData>
    <row r="1" spans="1:22" s="3450" customFormat="1" ht="12.75">
      <c r="A1" s="3450" t="s">
        <v>3380</v>
      </c>
      <c r="C1" s="3450" t="s">
        <v>3417</v>
      </c>
      <c r="D1" s="3450" t="s">
        <v>3384</v>
      </c>
      <c r="E1" s="3450" t="s">
        <v>3418</v>
      </c>
      <c r="F1" s="3450" t="s">
        <v>3419</v>
      </c>
      <c r="G1" s="3450" t="s">
        <v>3420</v>
      </c>
      <c r="I1" s="3450" t="s">
        <v>3421</v>
      </c>
      <c r="J1" s="3450" t="s">
        <v>3422</v>
      </c>
      <c r="K1" s="3450" t="s">
        <v>3423</v>
      </c>
      <c r="L1" s="3450" t="s">
        <v>3424</v>
      </c>
      <c r="M1" s="3450" t="s">
        <v>3425</v>
      </c>
      <c r="N1" s="3450" t="s">
        <v>3426</v>
      </c>
      <c r="O1" s="3450" t="s">
        <v>3427</v>
      </c>
      <c r="P1" s="3450" t="s">
        <v>3428</v>
      </c>
      <c r="Q1" s="3450" t="s">
        <v>3429</v>
      </c>
      <c r="R1" s="3450" t="s">
        <v>3430</v>
      </c>
      <c r="S1" s="3450" t="s">
        <v>3431</v>
      </c>
      <c r="T1" s="3450" t="s">
        <v>3432</v>
      </c>
      <c r="U1" s="3450" t="s">
        <v>3433</v>
      </c>
      <c r="V1" s="3450" t="s">
        <v>3434</v>
      </c>
    </row>
    <row r="2" spans="1:22" s="3450" customFormat="1" ht="11.25" customHeight="1">
      <c r="A2" s="3450">
        <v>1</v>
      </c>
      <c r="B2" s="3450" t="s">
        <v>3435</v>
      </c>
      <c r="C2" s="3450" t="s">
        <v>3436</v>
      </c>
      <c r="D2" s="3450" t="s">
        <v>3437</v>
      </c>
      <c r="E2" s="3450" t="s">
        <v>3438</v>
      </c>
      <c r="F2" s="3450">
        <v>40082.199999999997</v>
      </c>
      <c r="G2" s="3450">
        <v>60123.3</v>
      </c>
      <c r="H2" s="3450">
        <f>ROUND(G2/F2,2)</f>
        <v>1.5</v>
      </c>
      <c r="I2" s="3450">
        <v>1.5</v>
      </c>
      <c r="J2" s="3450" t="s">
        <v>3439</v>
      </c>
      <c r="K2" s="3450" t="s">
        <v>3440</v>
      </c>
      <c r="L2" s="3450" t="s">
        <v>3441</v>
      </c>
      <c r="M2" s="3450">
        <v>44550.000497685185</v>
      </c>
      <c r="N2" s="3451">
        <v>44550.000497685185</v>
      </c>
      <c r="O2" s="3450" t="s">
        <v>3442</v>
      </c>
      <c r="P2" s="3450" t="s">
        <v>3443</v>
      </c>
      <c r="Q2" s="3450">
        <v>81924.009999999995</v>
      </c>
      <c r="R2" s="3450">
        <v>16400</v>
      </c>
      <c r="S2" s="3450" t="s">
        <v>633</v>
      </c>
      <c r="T2" s="3450">
        <v>81924.009999999995</v>
      </c>
      <c r="U2" s="3450">
        <v>13626</v>
      </c>
      <c r="V2" s="3450">
        <v>0</v>
      </c>
    </row>
    <row r="3" spans="1:22" s="3450" customFormat="1" ht="12.75">
      <c r="A3" s="3450">
        <v>2</v>
      </c>
      <c r="B3" s="3450" t="s">
        <v>3444</v>
      </c>
      <c r="C3" s="3450" t="s">
        <v>3445</v>
      </c>
      <c r="D3" s="3450" t="s">
        <v>3446</v>
      </c>
      <c r="E3" s="3450" t="s">
        <v>3447</v>
      </c>
      <c r="F3" s="3450">
        <v>47891.57</v>
      </c>
      <c r="G3" s="3450">
        <v>105361.45</v>
      </c>
      <c r="H3" s="3450">
        <f t="shared" ref="H3:H13" si="0">ROUND(G3/F3,2)</f>
        <v>2.2000000000000002</v>
      </c>
      <c r="I3" s="3450" t="s">
        <v>3448</v>
      </c>
      <c r="J3" s="3450" t="s">
        <v>3439</v>
      </c>
      <c r="K3" s="3450" t="s">
        <v>3449</v>
      </c>
      <c r="L3" s="3450" t="s">
        <v>3441</v>
      </c>
      <c r="M3" s="3450">
        <v>44406.000497685185</v>
      </c>
      <c r="N3" s="3453">
        <v>44410.000497685185</v>
      </c>
      <c r="O3" s="3450" t="s">
        <v>3442</v>
      </c>
      <c r="P3" s="3450" t="s">
        <v>3450</v>
      </c>
      <c r="Q3" s="3450">
        <v>91664.46</v>
      </c>
      <c r="R3" s="3450">
        <v>27500</v>
      </c>
      <c r="S3" s="3450" t="s">
        <v>3451</v>
      </c>
      <c r="T3" s="3450">
        <v>91664.46</v>
      </c>
      <c r="U3" s="3450">
        <v>8700</v>
      </c>
      <c r="V3" s="3450">
        <v>0</v>
      </c>
    </row>
    <row r="4" spans="1:22" s="3457" customFormat="1" ht="12.75">
      <c r="A4" s="3457">
        <v>3</v>
      </c>
      <c r="B4" s="3457" t="s">
        <v>3452</v>
      </c>
      <c r="C4" s="3457" t="s">
        <v>3453</v>
      </c>
      <c r="D4" s="3457" t="s">
        <v>3454</v>
      </c>
      <c r="E4" s="3457" t="s">
        <v>3455</v>
      </c>
      <c r="F4" s="3457">
        <v>41000.75</v>
      </c>
      <c r="G4" s="3457">
        <v>102502</v>
      </c>
      <c r="H4" s="3457">
        <f t="shared" si="0"/>
        <v>2.5</v>
      </c>
      <c r="I4" s="3457" t="s">
        <v>3456</v>
      </c>
      <c r="J4" s="3457" t="s">
        <v>3439</v>
      </c>
      <c r="K4" s="3457" t="s">
        <v>3449</v>
      </c>
      <c r="L4" s="3457" t="s">
        <v>3441</v>
      </c>
      <c r="M4" s="3457">
        <v>44236.000497685185</v>
      </c>
      <c r="N4" s="3454">
        <v>44237.000497685185</v>
      </c>
      <c r="O4" s="3457" t="s">
        <v>3442</v>
      </c>
      <c r="P4" s="3457" t="s">
        <v>3457</v>
      </c>
      <c r="Q4" s="3457">
        <v>146578</v>
      </c>
      <c r="R4" s="3457">
        <v>45000</v>
      </c>
      <c r="S4" s="3457" t="s">
        <v>633</v>
      </c>
      <c r="T4" s="3457">
        <v>146578</v>
      </c>
      <c r="U4" s="3457">
        <v>14300</v>
      </c>
      <c r="V4" s="3457">
        <v>0</v>
      </c>
    </row>
    <row r="5" spans="1:22" s="3457" customFormat="1" ht="12.75">
      <c r="A5" s="3457">
        <v>4</v>
      </c>
      <c r="B5" s="3457" t="s">
        <v>3458</v>
      </c>
      <c r="C5" s="3457" t="s">
        <v>3459</v>
      </c>
      <c r="D5" s="3457" t="s">
        <v>3460</v>
      </c>
      <c r="E5" s="3457" t="s">
        <v>3455</v>
      </c>
      <c r="F5" s="3457">
        <v>62136.68</v>
      </c>
      <c r="G5" s="3457">
        <v>147241</v>
      </c>
      <c r="H5" s="3457">
        <f t="shared" si="0"/>
        <v>2.37</v>
      </c>
      <c r="I5" s="3457" t="s">
        <v>3456</v>
      </c>
      <c r="J5" s="3457" t="s">
        <v>3439</v>
      </c>
      <c r="K5" s="3457" t="s">
        <v>3461</v>
      </c>
      <c r="L5" s="3457" t="s">
        <v>3441</v>
      </c>
      <c r="M5" s="3457">
        <v>44190.000497685185</v>
      </c>
      <c r="N5" s="3454">
        <v>44190.000497685185</v>
      </c>
      <c r="O5" s="3457" t="s">
        <v>3442</v>
      </c>
      <c r="P5" s="3457" t="s">
        <v>3462</v>
      </c>
      <c r="Q5" s="3457">
        <v>206138</v>
      </c>
      <c r="R5" s="3457">
        <v>62000</v>
      </c>
      <c r="S5" s="3457" t="s">
        <v>3463</v>
      </c>
      <c r="T5" s="3457">
        <v>206138</v>
      </c>
      <c r="U5" s="3457">
        <v>14000</v>
      </c>
      <c r="V5" s="3457">
        <v>0</v>
      </c>
    </row>
    <row r="6" spans="1:22" s="3450" customFormat="1" ht="12.75">
      <c r="A6" s="3450">
        <v>5</v>
      </c>
      <c r="B6" s="3450" t="s">
        <v>3464</v>
      </c>
      <c r="C6" s="3450" t="s">
        <v>3465</v>
      </c>
      <c r="D6" s="3450" t="s">
        <v>3466</v>
      </c>
      <c r="E6" s="3450" t="s">
        <v>3447</v>
      </c>
      <c r="F6" s="3450">
        <v>72673.490000000005</v>
      </c>
      <c r="G6" s="3450">
        <v>159882</v>
      </c>
      <c r="H6" s="3450">
        <f t="shared" si="0"/>
        <v>2.2000000000000002</v>
      </c>
      <c r="I6" s="3450" t="s">
        <v>3448</v>
      </c>
      <c r="J6" s="3450" t="s">
        <v>3439</v>
      </c>
      <c r="K6" s="3450" t="s">
        <v>3449</v>
      </c>
      <c r="L6" s="3450" t="s">
        <v>3441</v>
      </c>
      <c r="M6" s="3450">
        <v>44189.000497685185</v>
      </c>
      <c r="N6" s="3455">
        <v>44189.000497685185</v>
      </c>
      <c r="O6" s="3450" t="s">
        <v>3442</v>
      </c>
      <c r="P6" s="3450" t="s">
        <v>3467</v>
      </c>
      <c r="Q6" s="3450">
        <v>252613.56</v>
      </c>
      <c r="R6" s="3450">
        <v>80000</v>
      </c>
      <c r="S6" s="3450" t="s">
        <v>3468</v>
      </c>
      <c r="T6" s="3450">
        <v>252613.56</v>
      </c>
      <c r="U6" s="3450">
        <v>15800</v>
      </c>
      <c r="V6" s="3450">
        <v>0</v>
      </c>
    </row>
    <row r="7" spans="1:22" s="3450" customFormat="1" ht="12.75">
      <c r="A7" s="3450">
        <v>6</v>
      </c>
      <c r="B7" s="3450" t="s">
        <v>3469</v>
      </c>
      <c r="C7" s="3450" t="s">
        <v>3470</v>
      </c>
      <c r="D7" s="3450" t="s">
        <v>3471</v>
      </c>
      <c r="E7" s="3450" t="s">
        <v>3455</v>
      </c>
      <c r="F7" s="3450">
        <v>43870.1</v>
      </c>
      <c r="G7" s="3450">
        <v>109675.25</v>
      </c>
      <c r="H7" s="3450">
        <f t="shared" si="0"/>
        <v>2.5</v>
      </c>
      <c r="I7" s="3450" t="s">
        <v>3472</v>
      </c>
      <c r="J7" s="3450" t="s">
        <v>3439</v>
      </c>
      <c r="K7" s="3450" t="s">
        <v>3473</v>
      </c>
      <c r="L7" s="3450" t="s">
        <v>3441</v>
      </c>
      <c r="M7" s="3450">
        <v>44187.000497685185</v>
      </c>
      <c r="N7" s="3451">
        <v>44187.000497685185</v>
      </c>
      <c r="O7" s="3450" t="s">
        <v>3442</v>
      </c>
      <c r="P7" s="3450" t="s">
        <v>3474</v>
      </c>
      <c r="Q7" s="3450">
        <v>148061.57999999999</v>
      </c>
      <c r="R7" s="3450">
        <v>45000</v>
      </c>
      <c r="S7" s="3450" t="s">
        <v>3475</v>
      </c>
      <c r="T7" s="3450">
        <v>148061.57999999999</v>
      </c>
      <c r="U7" s="3450">
        <v>13500</v>
      </c>
      <c r="V7" s="3450">
        <v>0</v>
      </c>
    </row>
    <row r="8" spans="1:22" s="3450" customFormat="1" ht="12.75">
      <c r="A8" s="3450">
        <v>7</v>
      </c>
      <c r="C8" s="3450" t="s">
        <v>3476</v>
      </c>
      <c r="D8" s="3450" t="s">
        <v>3477</v>
      </c>
      <c r="E8" s="3450" t="s">
        <v>3455</v>
      </c>
      <c r="F8" s="3450">
        <v>33783.57</v>
      </c>
      <c r="G8" s="3450">
        <v>84458.9</v>
      </c>
      <c r="H8" s="3450">
        <f t="shared" si="0"/>
        <v>2.5</v>
      </c>
      <c r="I8" s="3450" t="s">
        <v>3472</v>
      </c>
      <c r="J8" s="3450" t="s">
        <v>3439</v>
      </c>
      <c r="K8" s="3450" t="s">
        <v>3449</v>
      </c>
      <c r="L8" s="3450" t="s">
        <v>3441</v>
      </c>
      <c r="M8" s="3450">
        <v>44186.000497685185</v>
      </c>
      <c r="N8" s="3452" t="s">
        <v>3478</v>
      </c>
      <c r="O8" s="3450" t="s">
        <v>3479</v>
      </c>
      <c r="P8" s="3450" t="s">
        <v>3480</v>
      </c>
      <c r="Q8" s="3450">
        <v>110641.16</v>
      </c>
      <c r="R8" s="3450">
        <v>40000</v>
      </c>
      <c r="S8" s="3450" t="s">
        <v>633</v>
      </c>
      <c r="T8" s="3450" t="s">
        <v>3478</v>
      </c>
      <c r="U8" s="3450" t="s">
        <v>3478</v>
      </c>
      <c r="V8" s="3450">
        <v>0</v>
      </c>
    </row>
    <row r="9" spans="1:22" s="3457" customFormat="1" ht="12.75">
      <c r="A9" s="3457">
        <v>8</v>
      </c>
      <c r="B9" s="3457" t="s">
        <v>3481</v>
      </c>
      <c r="C9" s="3457" t="s">
        <v>3482</v>
      </c>
      <c r="D9" s="3457" t="s">
        <v>3483</v>
      </c>
      <c r="E9" s="3457" t="s">
        <v>3455</v>
      </c>
      <c r="F9" s="3457">
        <v>47891.78</v>
      </c>
      <c r="G9" s="3457">
        <v>108059</v>
      </c>
      <c r="H9" s="3457">
        <f t="shared" si="0"/>
        <v>2.2599999999999998</v>
      </c>
      <c r="I9" s="3457" t="s">
        <v>3456</v>
      </c>
      <c r="J9" s="3457" t="s">
        <v>3439</v>
      </c>
      <c r="K9" s="3457" t="s">
        <v>3461</v>
      </c>
      <c r="L9" s="3457" t="s">
        <v>3441</v>
      </c>
      <c r="M9" s="3457">
        <v>43720.000497685185</v>
      </c>
      <c r="N9" s="3454">
        <v>43720.000497685185</v>
      </c>
      <c r="O9" s="3457" t="s">
        <v>3442</v>
      </c>
      <c r="P9" s="3457" t="s">
        <v>3484</v>
      </c>
      <c r="Q9" s="3457">
        <v>151283</v>
      </c>
      <c r="R9" s="3457">
        <v>50000</v>
      </c>
      <c r="S9" s="3457" t="s">
        <v>633</v>
      </c>
      <c r="T9" s="3457">
        <v>151283</v>
      </c>
      <c r="U9" s="3457">
        <v>14000</v>
      </c>
      <c r="V9" s="3457">
        <v>0</v>
      </c>
    </row>
    <row r="10" spans="1:22" s="3450" customFormat="1" ht="12.75">
      <c r="A10" s="3450">
        <v>9</v>
      </c>
      <c r="B10" s="3450" t="s">
        <v>3485</v>
      </c>
      <c r="C10" s="3450" t="s">
        <v>3486</v>
      </c>
      <c r="D10" s="3450" t="s">
        <v>3487</v>
      </c>
      <c r="E10" s="3450" t="s">
        <v>3447</v>
      </c>
      <c r="F10" s="3450">
        <v>40285.32</v>
      </c>
      <c r="G10" s="3450">
        <v>80571</v>
      </c>
      <c r="H10" s="3450">
        <f t="shared" si="0"/>
        <v>2</v>
      </c>
      <c r="I10" s="3450" t="s">
        <v>3488</v>
      </c>
      <c r="J10" s="3450" t="s">
        <v>3439</v>
      </c>
      <c r="K10" s="3450" t="s">
        <v>3449</v>
      </c>
      <c r="L10" s="3450" t="s">
        <v>3441</v>
      </c>
      <c r="M10" s="3450">
        <v>43532.000497685185</v>
      </c>
      <c r="N10" s="3456">
        <v>43532.000497685185</v>
      </c>
      <c r="O10" s="3450" t="s">
        <v>3442</v>
      </c>
      <c r="P10" s="3450" t="s">
        <v>3489</v>
      </c>
      <c r="Q10" s="3450">
        <v>127302.2</v>
      </c>
      <c r="R10" s="3450">
        <v>40000</v>
      </c>
      <c r="S10" s="3450" t="s">
        <v>633</v>
      </c>
      <c r="T10" s="3450">
        <v>127302.2</v>
      </c>
      <c r="U10" s="3450">
        <v>15800</v>
      </c>
      <c r="V10" s="3450">
        <v>0</v>
      </c>
    </row>
    <row r="11" spans="1:22" s="3450" customFormat="1" ht="12.75">
      <c r="A11" s="3450">
        <v>10</v>
      </c>
      <c r="C11" s="3450" t="s">
        <v>3490</v>
      </c>
      <c r="D11" s="3450" t="s">
        <v>3491</v>
      </c>
      <c r="E11" s="3450" t="s">
        <v>3438</v>
      </c>
      <c r="F11" s="3450">
        <v>41000.75</v>
      </c>
      <c r="G11" s="3450">
        <v>102502</v>
      </c>
      <c r="H11" s="3450">
        <f t="shared" si="0"/>
        <v>2.5</v>
      </c>
      <c r="I11" s="3450">
        <v>2.5</v>
      </c>
      <c r="J11" s="3450" t="s">
        <v>3439</v>
      </c>
      <c r="K11" s="3450" t="s">
        <v>3492</v>
      </c>
      <c r="L11" s="3450" t="s">
        <v>3441</v>
      </c>
      <c r="M11" s="3450">
        <v>43492.000497685185</v>
      </c>
      <c r="N11" s="3450" t="s">
        <v>3478</v>
      </c>
      <c r="O11" s="3450" t="s">
        <v>3493</v>
      </c>
      <c r="P11" s="3450" t="s">
        <v>3480</v>
      </c>
      <c r="Q11" s="3450">
        <v>158879</v>
      </c>
      <c r="R11" s="3450">
        <v>48000</v>
      </c>
      <c r="S11" s="3450" t="s">
        <v>633</v>
      </c>
      <c r="T11" s="3450" t="s">
        <v>3478</v>
      </c>
      <c r="U11" s="3450" t="s">
        <v>3478</v>
      </c>
      <c r="V11" s="3450">
        <v>0</v>
      </c>
    </row>
    <row r="12" spans="1:22" s="3450" customFormat="1" ht="12.75">
      <c r="A12" s="3450">
        <v>11</v>
      </c>
      <c r="C12" s="3450" t="s">
        <v>3494</v>
      </c>
      <c r="D12" s="3450" t="s">
        <v>3495</v>
      </c>
      <c r="E12" s="3450" t="s">
        <v>3438</v>
      </c>
      <c r="F12" s="3450">
        <v>47891.78</v>
      </c>
      <c r="G12" s="3450">
        <v>108059</v>
      </c>
      <c r="H12" s="3450">
        <f t="shared" si="0"/>
        <v>2.2599999999999998</v>
      </c>
      <c r="I12" s="3450">
        <v>2.2599999999999998</v>
      </c>
      <c r="J12" s="3450" t="s">
        <v>3439</v>
      </c>
      <c r="K12" s="3450" t="s">
        <v>3492</v>
      </c>
      <c r="L12" s="3450" t="s">
        <v>3441</v>
      </c>
      <c r="M12" s="3450">
        <v>43492.000497685185</v>
      </c>
      <c r="N12" s="3450" t="s">
        <v>3478</v>
      </c>
      <c r="O12" s="3450" t="s">
        <v>3493</v>
      </c>
      <c r="P12" s="3450" t="s">
        <v>3480</v>
      </c>
      <c r="Q12" s="3450">
        <v>162089</v>
      </c>
      <c r="R12" s="3450">
        <v>50000</v>
      </c>
      <c r="S12" s="3450" t="s">
        <v>633</v>
      </c>
      <c r="T12" s="3450" t="s">
        <v>3478</v>
      </c>
      <c r="U12" s="3450" t="s">
        <v>3478</v>
      </c>
      <c r="V12" s="3450">
        <v>0</v>
      </c>
    </row>
    <row r="13" spans="1:22" s="3450" customFormat="1" ht="12.75">
      <c r="A13" s="3450">
        <v>12</v>
      </c>
      <c r="C13" s="3450" t="s">
        <v>3496</v>
      </c>
      <c r="D13" s="3450" t="s">
        <v>3497</v>
      </c>
      <c r="E13" s="3450" t="s">
        <v>3438</v>
      </c>
      <c r="F13" s="3450">
        <v>62136.68</v>
      </c>
      <c r="G13" s="3450">
        <v>147241</v>
      </c>
      <c r="H13" s="3450">
        <f t="shared" si="0"/>
        <v>2.37</v>
      </c>
      <c r="I13" s="3450">
        <v>2.37</v>
      </c>
      <c r="J13" s="3450" t="s">
        <v>3439</v>
      </c>
      <c r="K13" s="3450" t="s">
        <v>3492</v>
      </c>
      <c r="L13" s="3450" t="s">
        <v>3441</v>
      </c>
      <c r="M13" s="3450">
        <v>43492.000497685185</v>
      </c>
      <c r="N13" s="3450" t="s">
        <v>3478</v>
      </c>
      <c r="O13" s="3450" t="s">
        <v>3493</v>
      </c>
      <c r="P13" s="3450" t="s">
        <v>3480</v>
      </c>
      <c r="Q13" s="3450">
        <v>220862</v>
      </c>
      <c r="R13" s="3450">
        <v>67000</v>
      </c>
      <c r="S13" s="3450" t="s">
        <v>633</v>
      </c>
      <c r="T13" s="3450" t="s">
        <v>3478</v>
      </c>
      <c r="U13" s="3450" t="s">
        <v>3478</v>
      </c>
      <c r="V13" s="3450">
        <v>0</v>
      </c>
    </row>
    <row r="14" spans="1:22" s="3450" customFormat="1" ht="12.7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7" t="e">
        <f ca="1">ROUND(D2/10000,4)</f>
        <v>#DIV/0!</v>
      </c>
      <c r="C2" s="1383" t="s">
        <v>879</v>
      </c>
      <c r="D2" s="1467" t="e">
        <f ca="1">C40+J29+L46</f>
        <v>#DIV/0!</v>
      </c>
      <c r="E2" s="1384" t="s">
        <v>880</v>
      </c>
      <c r="F2" s="1385"/>
      <c r="G2" s="2698"/>
      <c r="H2" s="2687"/>
      <c r="I2" s="2687"/>
      <c r="J2" s="2687"/>
      <c r="K2" s="2688"/>
      <c r="L2" s="2687"/>
      <c r="M2" s="2687"/>
    </row>
    <row r="3" spans="1:37" ht="18" customHeight="1" thickBot="1">
      <c r="A3" s="1386" t="s">
        <v>881</v>
      </c>
      <c r="B3" s="1387">
        <f ca="1">IF(ISERROR(D2/F43),0,ROUND(D2/F43,0))</f>
        <v>0</v>
      </c>
      <c r="C3" s="1383" t="s">
        <v>882</v>
      </c>
      <c r="D3" s="1383"/>
      <c r="E3" s="1384"/>
      <c r="F3" s="1385"/>
      <c r="G3" s="2698"/>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689" t="s">
        <v>694</v>
      </c>
      <c r="C6" s="1070">
        <f ca="1">ROUND(F6*F8*F7*(1-F9),0)</f>
        <v>0</v>
      </c>
      <c r="D6" s="152" t="s">
        <v>2106</v>
      </c>
      <c r="E6" s="299" t="s">
        <v>696</v>
      </c>
      <c r="F6" s="300">
        <f ca="1">INDIRECT("'数据-取费表'!u"&amp;$G$1)</f>
        <v>0</v>
      </c>
      <c r="G6" s="1380"/>
      <c r="H6" s="1065" t="s">
        <v>398</v>
      </c>
      <c r="I6" s="3689" t="s">
        <v>694</v>
      </c>
      <c r="J6" s="298">
        <f ca="1">ROUND(M6*M8*M7*(1-M9),0)</f>
        <v>0</v>
      </c>
      <c r="K6" s="1372" t="s">
        <v>2107</v>
      </c>
      <c r="L6" s="299" t="s">
        <v>696</v>
      </c>
      <c r="M6" s="300">
        <f ca="1">INDIRECT("'数据-取费表'!z"&amp;$G$1)</f>
        <v>0</v>
      </c>
    </row>
    <row r="7" spans="1:37" ht="18" customHeight="1">
      <c r="A7" s="1069"/>
      <c r="B7" s="3690"/>
      <c r="C7" s="1071"/>
      <c r="D7" s="304"/>
      <c r="E7" s="1072" t="s">
        <v>697</v>
      </c>
      <c r="F7" s="300">
        <f ca="1">IF(INDIRECT("'数据-取费表'!ah"&amp;$G$1)="",INDIRECT("'数据-取费表'!k"&amp;$G$1),INDIRECT("'数据-取费表'!ah"&amp;$G$1))</f>
        <v>0</v>
      </c>
      <c r="G7" s="1380"/>
      <c r="H7" s="301"/>
      <c r="I7" s="3690"/>
      <c r="J7" s="303"/>
      <c r="K7" s="304"/>
      <c r="L7" s="299" t="s">
        <v>697</v>
      </c>
      <c r="M7" s="300">
        <f ca="1">F7</f>
        <v>0</v>
      </c>
    </row>
    <row r="8" spans="1:37" ht="18" customHeight="1">
      <c r="A8" s="301"/>
      <c r="B8" s="3690"/>
      <c r="C8" s="303"/>
      <c r="D8" s="304"/>
      <c r="E8" s="299" t="s">
        <v>698</v>
      </c>
      <c r="F8" s="300">
        <f ca="1">INDIRECT("'数据-取费表'!ai"&amp;$G$1)</f>
        <v>0</v>
      </c>
      <c r="G8" s="1380"/>
      <c r="H8" s="301"/>
      <c r="I8" s="3690"/>
      <c r="J8" s="303"/>
      <c r="K8" s="304"/>
      <c r="L8" s="299" t="s">
        <v>698</v>
      </c>
      <c r="M8" s="300">
        <f ca="1">INDIRECT("'数据-取费表'!ai"&amp;$G$1)</f>
        <v>0</v>
      </c>
    </row>
    <row r="9" spans="1:37" ht="18" customHeight="1">
      <c r="A9" s="301"/>
      <c r="B9" s="3691"/>
      <c r="C9" s="303"/>
      <c r="D9" s="304"/>
      <c r="E9" s="299" t="s">
        <v>699</v>
      </c>
      <c r="F9" s="309">
        <f ca="1">INDIRECT("'数据-取费表'!w"&amp;$G$1)</f>
        <v>0</v>
      </c>
      <c r="G9" s="1380"/>
      <c r="H9" s="301"/>
      <c r="I9" s="3691"/>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09">
        <f ca="1">ROUND(IF(AND(项目基本情况!B11="自然人",项目基本情况!B10="北京市"),J6*M17/(1+'数据-取费表'!C42),J18+J19+J20),0)</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IF(K19="按租金收入计税",ROUND(J6*M19/(1+'数据-取费表'!C42),0),ROUND(C29*M19*0.7,0))</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ROUND(IF(AND(项目基本情况!B11="自然人",项目基本情况!B10="北京市"),C6*F31/(1+'数据-取费表'!C42),C32+C33+C34),0)</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IF(项目基本情况!B11="自然人","——",ROUND(F34*F35,0))</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ROUND(C29*F36,0)</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ROUND(C13*F37,0)</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ROUND(C5*F38,0)</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3423" t="s">
        <v>3356</v>
      </c>
      <c r="B45" s="1396"/>
      <c r="C45" s="1468" t="e">
        <f ca="1">ROUND((C68-C40)/10000,4)</f>
        <v>#DIV/0!</v>
      </c>
      <c r="D45" s="3424" t="s">
        <v>3357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1">
        <f ca="1">IF(M47="住宅",IF(D1="——",MAX(J51,L48),MAX(J51,L48-'数据-取费表'!B24)),IF(D1="——",MIN(J51,L48),MIN(J51,L48-'数据-取费表'!B24)))</f>
        <v>0</v>
      </c>
      <c r="K53" s="3687" t="s">
        <v>837</v>
      </c>
      <c r="L53" s="3688"/>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875" style="2994" customWidth="1"/>
    <col min="11" max="11" width="11.875" style="2994" customWidth="1"/>
    <col min="12" max="13" width="10.8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875" style="2834" customWidth="1"/>
    <col min="267" max="267" width="11.875" style="2834" customWidth="1"/>
    <col min="268" max="269" width="10.8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875" style="2834" customWidth="1"/>
    <col min="523" max="523" width="11.875" style="2834" customWidth="1"/>
    <col min="524" max="525" width="10.8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875" style="2834" customWidth="1"/>
    <col min="779" max="779" width="11.875" style="2834" customWidth="1"/>
    <col min="780" max="781" width="10.8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875" style="2834" customWidth="1"/>
    <col min="1035" max="1035" width="11.875" style="2834" customWidth="1"/>
    <col min="1036" max="1037" width="10.8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875" style="2834" customWidth="1"/>
    <col min="1291" max="1291" width="11.875" style="2834" customWidth="1"/>
    <col min="1292" max="1293" width="10.8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875" style="2834" customWidth="1"/>
    <col min="1547" max="1547" width="11.875" style="2834" customWidth="1"/>
    <col min="1548" max="1549" width="10.8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875" style="2834" customWidth="1"/>
    <col min="1803" max="1803" width="11.875" style="2834" customWidth="1"/>
    <col min="1804" max="1805" width="10.8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875" style="2834" customWidth="1"/>
    <col min="2059" max="2059" width="11.875" style="2834" customWidth="1"/>
    <col min="2060" max="2061" width="10.8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875" style="2834" customWidth="1"/>
    <col min="2315" max="2315" width="11.875" style="2834" customWidth="1"/>
    <col min="2316" max="2317" width="10.8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875" style="2834" customWidth="1"/>
    <col min="2571" max="2571" width="11.875" style="2834" customWidth="1"/>
    <col min="2572" max="2573" width="10.8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875" style="2834" customWidth="1"/>
    <col min="2827" max="2827" width="11.875" style="2834" customWidth="1"/>
    <col min="2828" max="2829" width="10.8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875" style="2834" customWidth="1"/>
    <col min="3083" max="3083" width="11.875" style="2834" customWidth="1"/>
    <col min="3084" max="3085" width="10.8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875" style="2834" customWidth="1"/>
    <col min="3339" max="3339" width="11.875" style="2834" customWidth="1"/>
    <col min="3340" max="3341" width="10.8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875" style="2834" customWidth="1"/>
    <col min="3595" max="3595" width="11.875" style="2834" customWidth="1"/>
    <col min="3596" max="3597" width="10.8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875" style="2834" customWidth="1"/>
    <col min="3851" max="3851" width="11.875" style="2834" customWidth="1"/>
    <col min="3852" max="3853" width="10.8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875" style="2834" customWidth="1"/>
    <col min="4107" max="4107" width="11.875" style="2834" customWidth="1"/>
    <col min="4108" max="4109" width="10.8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875" style="2834" customWidth="1"/>
    <col min="4363" max="4363" width="11.875" style="2834" customWidth="1"/>
    <col min="4364" max="4365" width="10.8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875" style="2834" customWidth="1"/>
    <col min="4619" max="4619" width="11.875" style="2834" customWidth="1"/>
    <col min="4620" max="4621" width="10.8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875" style="2834" customWidth="1"/>
    <col min="4875" max="4875" width="11.875" style="2834" customWidth="1"/>
    <col min="4876" max="4877" width="10.8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875" style="2834" customWidth="1"/>
    <col min="5131" max="5131" width="11.875" style="2834" customWidth="1"/>
    <col min="5132" max="5133" width="10.8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875" style="2834" customWidth="1"/>
    <col min="5387" max="5387" width="11.875" style="2834" customWidth="1"/>
    <col min="5388" max="5389" width="10.8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875" style="2834" customWidth="1"/>
    <col min="5643" max="5643" width="11.875" style="2834" customWidth="1"/>
    <col min="5644" max="5645" width="10.8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875" style="2834" customWidth="1"/>
    <col min="5899" max="5899" width="11.875" style="2834" customWidth="1"/>
    <col min="5900" max="5901" width="10.8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875" style="2834" customWidth="1"/>
    <col min="6155" max="6155" width="11.875" style="2834" customWidth="1"/>
    <col min="6156" max="6157" width="10.8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875" style="2834" customWidth="1"/>
    <col min="6411" max="6411" width="11.875" style="2834" customWidth="1"/>
    <col min="6412" max="6413" width="10.8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875" style="2834" customWidth="1"/>
    <col min="6667" max="6667" width="11.875" style="2834" customWidth="1"/>
    <col min="6668" max="6669" width="10.8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875" style="2834" customWidth="1"/>
    <col min="6923" max="6923" width="11.875" style="2834" customWidth="1"/>
    <col min="6924" max="6925" width="10.8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875" style="2834" customWidth="1"/>
    <col min="7179" max="7179" width="11.875" style="2834" customWidth="1"/>
    <col min="7180" max="7181" width="10.8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875" style="2834" customWidth="1"/>
    <col min="7435" max="7435" width="11.875" style="2834" customWidth="1"/>
    <col min="7436" max="7437" width="10.8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875" style="2834" customWidth="1"/>
    <col min="7691" max="7691" width="11.875" style="2834" customWidth="1"/>
    <col min="7692" max="7693" width="10.8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875" style="2834" customWidth="1"/>
    <col min="7947" max="7947" width="11.875" style="2834" customWidth="1"/>
    <col min="7948" max="7949" width="10.8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875" style="2834" customWidth="1"/>
    <col min="8203" max="8203" width="11.875" style="2834" customWidth="1"/>
    <col min="8204" max="8205" width="10.8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875" style="2834" customWidth="1"/>
    <col min="8459" max="8459" width="11.875" style="2834" customWidth="1"/>
    <col min="8460" max="8461" width="10.8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875" style="2834" customWidth="1"/>
    <col min="8715" max="8715" width="11.875" style="2834" customWidth="1"/>
    <col min="8716" max="8717" width="10.8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875" style="2834" customWidth="1"/>
    <col min="8971" max="8971" width="11.875" style="2834" customWidth="1"/>
    <col min="8972" max="8973" width="10.8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875" style="2834" customWidth="1"/>
    <col min="9227" max="9227" width="11.875" style="2834" customWidth="1"/>
    <col min="9228" max="9229" width="10.8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875" style="2834" customWidth="1"/>
    <col min="9483" max="9483" width="11.875" style="2834" customWidth="1"/>
    <col min="9484" max="9485" width="10.8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875" style="2834" customWidth="1"/>
    <col min="9739" max="9739" width="11.875" style="2834" customWidth="1"/>
    <col min="9740" max="9741" width="10.8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875" style="2834" customWidth="1"/>
    <col min="9995" max="9995" width="11.875" style="2834" customWidth="1"/>
    <col min="9996" max="9997" width="10.8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875" style="2834" customWidth="1"/>
    <col min="10251" max="10251" width="11.875" style="2834" customWidth="1"/>
    <col min="10252" max="10253" width="10.8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875" style="2834" customWidth="1"/>
    <col min="10507" max="10507" width="11.875" style="2834" customWidth="1"/>
    <col min="10508" max="10509" width="10.8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875" style="2834" customWidth="1"/>
    <col min="10763" max="10763" width="11.875" style="2834" customWidth="1"/>
    <col min="10764" max="10765" width="10.8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875" style="2834" customWidth="1"/>
    <col min="11019" max="11019" width="11.875" style="2834" customWidth="1"/>
    <col min="11020" max="11021" width="10.8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875" style="2834" customWidth="1"/>
    <col min="11275" max="11275" width="11.875" style="2834" customWidth="1"/>
    <col min="11276" max="11277" width="10.8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875" style="2834" customWidth="1"/>
    <col min="11531" max="11531" width="11.875" style="2834" customWidth="1"/>
    <col min="11532" max="11533" width="10.8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875" style="2834" customWidth="1"/>
    <col min="11787" max="11787" width="11.875" style="2834" customWidth="1"/>
    <col min="11788" max="11789" width="10.8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875" style="2834" customWidth="1"/>
    <col min="12043" max="12043" width="11.875" style="2834" customWidth="1"/>
    <col min="12044" max="12045" width="10.8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875" style="2834" customWidth="1"/>
    <col min="12299" max="12299" width="11.875" style="2834" customWidth="1"/>
    <col min="12300" max="12301" width="10.8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875" style="2834" customWidth="1"/>
    <col min="12555" max="12555" width="11.875" style="2834" customWidth="1"/>
    <col min="12556" max="12557" width="10.8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875" style="2834" customWidth="1"/>
    <col min="12811" max="12811" width="11.875" style="2834" customWidth="1"/>
    <col min="12812" max="12813" width="10.8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875" style="2834" customWidth="1"/>
    <col min="13067" max="13067" width="11.875" style="2834" customWidth="1"/>
    <col min="13068" max="13069" width="10.8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875" style="2834" customWidth="1"/>
    <col min="13323" max="13323" width="11.875" style="2834" customWidth="1"/>
    <col min="13324" max="13325" width="10.8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875" style="2834" customWidth="1"/>
    <col min="13579" max="13579" width="11.875" style="2834" customWidth="1"/>
    <col min="13580" max="13581" width="10.8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875" style="2834" customWidth="1"/>
    <col min="13835" max="13835" width="11.875" style="2834" customWidth="1"/>
    <col min="13836" max="13837" width="10.8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875" style="2834" customWidth="1"/>
    <col min="14091" max="14091" width="11.875" style="2834" customWidth="1"/>
    <col min="14092" max="14093" width="10.8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875" style="2834" customWidth="1"/>
    <col min="14347" max="14347" width="11.875" style="2834" customWidth="1"/>
    <col min="14348" max="14349" width="10.8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875" style="2834" customWidth="1"/>
    <col min="14603" max="14603" width="11.875" style="2834" customWidth="1"/>
    <col min="14604" max="14605" width="10.8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875" style="2834" customWidth="1"/>
    <col min="14859" max="14859" width="11.875" style="2834" customWidth="1"/>
    <col min="14860" max="14861" width="10.8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875" style="2834" customWidth="1"/>
    <col min="15115" max="15115" width="11.875" style="2834" customWidth="1"/>
    <col min="15116" max="15117" width="10.8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875" style="2834" customWidth="1"/>
    <col min="15371" max="15371" width="11.875" style="2834" customWidth="1"/>
    <col min="15372" max="15373" width="10.8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875" style="2834" customWidth="1"/>
    <col min="15627" max="15627" width="11.875" style="2834" customWidth="1"/>
    <col min="15628" max="15629" width="10.8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875" style="2834" customWidth="1"/>
    <col min="15883" max="15883" width="11.875" style="2834" customWidth="1"/>
    <col min="15884" max="15885" width="10.8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875" style="2834" customWidth="1"/>
    <col min="16139" max="16139" width="11.875" style="2834" customWidth="1"/>
    <col min="16140" max="16141" width="10.8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2314</v>
      </c>
      <c r="K1" s="2831"/>
      <c r="L1" s="2831"/>
      <c r="M1" s="2831"/>
      <c r="N1" s="2831"/>
      <c r="O1" s="2831"/>
      <c r="P1" s="2831"/>
      <c r="Q1" s="2831"/>
      <c r="R1" s="2832"/>
      <c r="S1" s="2833"/>
      <c r="T1" s="2833"/>
      <c r="U1" s="2833"/>
    </row>
    <row r="2" spans="1:22" s="2845" customFormat="1" ht="13.35" customHeight="1">
      <c r="A2" s="1381" t="s">
        <v>2315</v>
      </c>
      <c r="B2" s="2835" t="e">
        <f>IF(D2="——",C40,C40+E2)</f>
        <v>#DIV/0!</v>
      </c>
      <c r="C2" s="2836" t="s">
        <v>2316</v>
      </c>
      <c r="D2" s="3435" t="s">
        <v>3363</v>
      </c>
      <c r="E2" s="3436"/>
      <c r="F2" s="2838"/>
      <c r="G2" s="2839"/>
      <c r="H2" s="2840"/>
      <c r="I2" s="2841"/>
      <c r="J2" s="3749" t="s">
        <v>2317</v>
      </c>
      <c r="K2" s="3750"/>
      <c r="L2" s="2842" t="s">
        <v>2318</v>
      </c>
      <c r="M2" s="2842" t="s">
        <v>2319</v>
      </c>
      <c r="N2" s="2842" t="s">
        <v>2320</v>
      </c>
      <c r="O2" s="2842" t="s">
        <v>2321</v>
      </c>
      <c r="P2" s="2842" t="s">
        <v>2322</v>
      </c>
      <c r="Q2" s="2843" t="s">
        <v>2323</v>
      </c>
      <c r="R2" s="2844" t="s">
        <v>2324</v>
      </c>
      <c r="S2" s="2833"/>
      <c r="T2" s="2833"/>
      <c r="U2" s="2833"/>
      <c r="V2" s="2841"/>
    </row>
    <row r="3" spans="1:22" s="2845" customFormat="1" ht="13.35" customHeight="1">
      <c r="A3" s="2846" t="s">
        <v>2325</v>
      </c>
      <c r="B3" s="2847" t="e">
        <f>ROUND(B2*10000/B4,0)</f>
        <v>#DIV/0!</v>
      </c>
      <c r="C3" s="2836" t="s">
        <v>2326</v>
      </c>
      <c r="D3" s="2836"/>
      <c r="E3" s="2837"/>
      <c r="F3" s="2838"/>
      <c r="G3" s="2839"/>
      <c r="H3" s="2840"/>
      <c r="I3" s="2841"/>
      <c r="J3" s="3751" t="s">
        <v>2327</v>
      </c>
      <c r="K3" s="3752"/>
      <c r="L3" s="2848"/>
      <c r="M3" s="2848"/>
      <c r="N3" s="2848"/>
      <c r="O3" s="2848"/>
      <c r="P3" s="2848"/>
      <c r="Q3" s="2849"/>
      <c r="R3" s="2850">
        <f>SUM(L3:Q3)</f>
        <v>0</v>
      </c>
      <c r="S3" s="2833"/>
      <c r="T3" s="2833"/>
      <c r="U3" s="2833"/>
      <c r="V3" s="2841"/>
    </row>
    <row r="4" spans="1:22" s="2845" customFormat="1" ht="13.35" customHeight="1">
      <c r="A4" s="2851" t="s">
        <v>2328</v>
      </c>
      <c r="B4" s="2852"/>
      <c r="C4" s="2836"/>
      <c r="D4" s="2836"/>
      <c r="E4" s="2837"/>
      <c r="F4" s="2838"/>
      <c r="G4" s="2839"/>
      <c r="H4" s="2840"/>
      <c r="I4" s="2841"/>
      <c r="J4" s="3751" t="s">
        <v>2329</v>
      </c>
      <c r="K4" s="3752"/>
      <c r="L4" s="2853"/>
      <c r="M4" s="2853"/>
      <c r="N4" s="2853"/>
      <c r="O4" s="2853"/>
      <c r="P4" s="2853"/>
      <c r="Q4" s="2854"/>
      <c r="R4" s="2855">
        <f>SUM(L4:Q4)</f>
        <v>0</v>
      </c>
      <c r="S4" s="2833"/>
      <c r="T4" s="2833"/>
      <c r="U4" s="2833"/>
      <c r="V4" s="2841"/>
    </row>
    <row r="5" spans="1:22" s="2845" customFormat="1" ht="13.35" customHeight="1" thickBot="1">
      <c r="A5" s="2856" t="s">
        <v>2330</v>
      </c>
      <c r="B5" s="2857"/>
      <c r="C5" s="2836"/>
      <c r="D5" s="2858"/>
      <c r="E5" s="2838"/>
      <c r="F5" s="2838"/>
      <c r="G5" s="2839"/>
      <c r="H5" s="2840"/>
      <c r="I5" s="2841"/>
      <c r="J5" s="2859" t="s">
        <v>2331</v>
      </c>
      <c r="K5" s="2860"/>
      <c r="L5" s="2860"/>
      <c r="M5" s="2861"/>
      <c r="N5" s="2861"/>
      <c r="O5" s="2861"/>
      <c r="P5" s="2861"/>
      <c r="Q5" s="2861"/>
      <c r="R5" s="2844">
        <f>SUM(R14,R19,R24,R25,R27,R28)</f>
        <v>0</v>
      </c>
      <c r="S5" s="2833"/>
      <c r="T5" s="2833" t="s">
        <v>2332</v>
      </c>
      <c r="U5" s="2833" t="e">
        <f>ROUND(R5*10000/365/R3,1)</f>
        <v>#DIV/0!</v>
      </c>
      <c r="V5" s="2841"/>
    </row>
    <row r="6" spans="1:22" s="2845" customFormat="1" ht="13.35" customHeight="1" thickBot="1">
      <c r="A6" s="3753" t="s">
        <v>2333</v>
      </c>
      <c r="B6" s="3754"/>
      <c r="C6" s="3755"/>
      <c r="D6" s="2862"/>
      <c r="E6" s="2863"/>
      <c r="F6" s="2864"/>
      <c r="G6" s="2865"/>
      <c r="H6" s="2840"/>
      <c r="I6" s="2841"/>
      <c r="J6" s="3756">
        <v>1</v>
      </c>
      <c r="K6" s="3757" t="s">
        <v>2334</v>
      </c>
      <c r="L6" s="2866" t="s">
        <v>2335</v>
      </c>
      <c r="M6" s="2867" t="s">
        <v>2336</v>
      </c>
      <c r="N6" s="2867" t="s">
        <v>2337</v>
      </c>
      <c r="O6" s="2867" t="s">
        <v>2338</v>
      </c>
      <c r="P6" s="2867" t="s">
        <v>2339</v>
      </c>
      <c r="Q6" s="2867" t="s">
        <v>2340</v>
      </c>
      <c r="R6" s="2850" t="s">
        <v>2341</v>
      </c>
      <c r="S6" s="2833"/>
      <c r="T6" s="2833" t="s">
        <v>2342</v>
      </c>
      <c r="U6" s="2833"/>
      <c r="V6" s="2841"/>
    </row>
    <row r="7" spans="1:22" s="2845" customFormat="1" ht="13.35" customHeight="1">
      <c r="A7" s="2868" t="s">
        <v>2343</v>
      </c>
      <c r="B7" s="2869"/>
      <c r="C7" s="2870"/>
      <c r="D7" s="2871">
        <f>SUM(D9,D10,D11,D17,0)</f>
        <v>0</v>
      </c>
      <c r="E7" s="2872" t="e">
        <f>E9+E10+E11+E17</f>
        <v>#DIV/0!</v>
      </c>
      <c r="F7" s="2873"/>
      <c r="G7" s="2874"/>
      <c r="H7" s="2840"/>
      <c r="I7" s="2841"/>
      <c r="J7" s="3756"/>
      <c r="K7" s="3758"/>
      <c r="L7" s="2875" t="s">
        <v>2344</v>
      </c>
      <c r="M7" s="2876"/>
      <c r="N7" s="2852"/>
      <c r="O7" s="2877"/>
      <c r="P7" s="2877"/>
      <c r="Q7" s="2878">
        <v>365</v>
      </c>
      <c r="R7" s="2879">
        <f>ROUND(M7*N7*O7*P7*Q7/10000,0)</f>
        <v>0</v>
      </c>
      <c r="S7" s="2833"/>
      <c r="T7" s="2833" t="s">
        <v>2345</v>
      </c>
      <c r="U7" s="2833"/>
      <c r="V7" s="2841"/>
    </row>
    <row r="8" spans="1:22" s="2845" customFormat="1" ht="13.35" customHeight="1">
      <c r="A8" s="2880" t="s">
        <v>2346</v>
      </c>
      <c r="B8" s="3760" t="s">
        <v>2347</v>
      </c>
      <c r="C8" s="3761"/>
      <c r="D8" s="2881" t="s">
        <v>2348</v>
      </c>
      <c r="E8" s="2882" t="s">
        <v>2349</v>
      </c>
      <c r="F8" s="2883" t="s">
        <v>2350</v>
      </c>
      <c r="G8" s="2884"/>
      <c r="H8" s="2840"/>
      <c r="I8" s="2841"/>
      <c r="J8" s="3756"/>
      <c r="K8" s="3758"/>
      <c r="L8" s="2875" t="s">
        <v>2351</v>
      </c>
      <c r="M8" s="2876"/>
      <c r="N8" s="2852"/>
      <c r="O8" s="2877"/>
      <c r="P8" s="2877"/>
      <c r="Q8" s="2878">
        <v>365</v>
      </c>
      <c r="R8" s="2879">
        <f t="shared" ref="R8:R13" si="0">ROUND(M8*N8*O8*P8*Q8/10000,0)</f>
        <v>0</v>
      </c>
      <c r="S8" s="2833"/>
      <c r="T8" s="2833" t="s">
        <v>2352</v>
      </c>
      <c r="U8" s="2833"/>
      <c r="V8" s="2841"/>
    </row>
    <row r="9" spans="1:22" s="2845" customFormat="1" ht="13.35" customHeight="1">
      <c r="A9" s="2880">
        <v>1</v>
      </c>
      <c r="B9" s="3760" t="s">
        <v>2353</v>
      </c>
      <c r="C9" s="3761"/>
      <c r="D9" s="2881">
        <f>ROUND(D6*E9,0)</f>
        <v>0</v>
      </c>
      <c r="E9" s="2885"/>
      <c r="F9" s="2886" t="s">
        <v>2354</v>
      </c>
      <c r="G9" s="2865"/>
      <c r="H9" s="2840"/>
      <c r="I9" s="2841"/>
      <c r="J9" s="3756"/>
      <c r="K9" s="3758"/>
      <c r="L9" s="2875" t="s">
        <v>2355</v>
      </c>
      <c r="M9" s="2876"/>
      <c r="N9" s="2852"/>
      <c r="O9" s="2877"/>
      <c r="P9" s="2877"/>
      <c r="Q9" s="2878">
        <v>365</v>
      </c>
      <c r="R9" s="2879">
        <f t="shared" si="0"/>
        <v>0</v>
      </c>
      <c r="S9" s="2833"/>
      <c r="T9" s="2833"/>
      <c r="U9" s="2833"/>
      <c r="V9" s="2841"/>
    </row>
    <row r="10" spans="1:22" s="2845" customFormat="1" ht="13.35" customHeight="1">
      <c r="A10" s="2880">
        <v>2</v>
      </c>
      <c r="B10" s="3760" t="s">
        <v>2356</v>
      </c>
      <c r="C10" s="3761"/>
      <c r="D10" s="2881">
        <f>ROUND(D6*E10,0)</f>
        <v>0</v>
      </c>
      <c r="E10" s="2885"/>
      <c r="F10" s="2886" t="s">
        <v>2357</v>
      </c>
      <c r="G10" s="2865"/>
      <c r="H10" s="2840"/>
      <c r="I10" s="2841"/>
      <c r="J10" s="3756"/>
      <c r="K10" s="3758"/>
      <c r="L10" s="2875" t="s">
        <v>2358</v>
      </c>
      <c r="M10" s="2876"/>
      <c r="N10" s="2852"/>
      <c r="O10" s="2877"/>
      <c r="P10" s="2877"/>
      <c r="Q10" s="2878">
        <v>365</v>
      </c>
      <c r="R10" s="2879">
        <f t="shared" si="0"/>
        <v>0</v>
      </c>
      <c r="S10" s="2833"/>
      <c r="T10" s="2833"/>
      <c r="U10" s="2833"/>
      <c r="V10" s="2841"/>
    </row>
    <row r="11" spans="1:22" s="2845" customFormat="1" ht="13.35" customHeight="1">
      <c r="A11" s="2880">
        <v>3</v>
      </c>
      <c r="B11" s="3760" t="s">
        <v>2359</v>
      </c>
      <c r="C11" s="3761"/>
      <c r="D11" s="2881">
        <f>D12+D14+D15+D16</f>
        <v>0</v>
      </c>
      <c r="E11" s="2887" t="e">
        <f>D11/D6</f>
        <v>#DIV/0!</v>
      </c>
      <c r="F11" s="2883"/>
      <c r="G11" s="2884"/>
      <c r="H11" s="2840"/>
      <c r="I11" s="2841"/>
      <c r="J11" s="3756"/>
      <c r="K11" s="3758"/>
      <c r="L11" s="2875" t="s">
        <v>2360</v>
      </c>
      <c r="M11" s="2876"/>
      <c r="N11" s="2852"/>
      <c r="O11" s="2877"/>
      <c r="P11" s="2877"/>
      <c r="Q11" s="2878">
        <v>365</v>
      </c>
      <c r="R11" s="2879">
        <f t="shared" si="0"/>
        <v>0</v>
      </c>
      <c r="S11" s="2833"/>
      <c r="T11" s="2833"/>
      <c r="U11" s="2833"/>
      <c r="V11" s="2841"/>
    </row>
    <row r="12" spans="1:22" s="2845" customFormat="1" ht="13.35" customHeight="1">
      <c r="A12" s="2888" t="s">
        <v>2361</v>
      </c>
      <c r="B12" s="3762" t="s">
        <v>2362</v>
      </c>
      <c r="C12" s="3763"/>
      <c r="D12" s="2889">
        <f>ROUND(D13*1.2%*(1-30%),0)</f>
        <v>0</v>
      </c>
      <c r="E12" s="2890">
        <v>1.2E-2</v>
      </c>
      <c r="F12" s="2883" t="s">
        <v>2363</v>
      </c>
      <c r="G12" s="2884"/>
      <c r="H12" s="2840"/>
      <c r="I12" s="2841"/>
      <c r="J12" s="3756"/>
      <c r="K12" s="3758"/>
      <c r="L12" s="2875" t="s">
        <v>2364</v>
      </c>
      <c r="M12" s="2876"/>
      <c r="N12" s="2852"/>
      <c r="O12" s="2877"/>
      <c r="P12" s="2877"/>
      <c r="Q12" s="2878">
        <v>365</v>
      </c>
      <c r="R12" s="2879">
        <f t="shared" si="0"/>
        <v>0</v>
      </c>
      <c r="S12" s="2833"/>
      <c r="T12" s="2833"/>
      <c r="U12" s="2833"/>
      <c r="V12" s="2841"/>
    </row>
    <row r="13" spans="1:22" s="2845" customFormat="1" ht="13.35" customHeight="1">
      <c r="A13" s="2888"/>
      <c r="B13" s="2891"/>
      <c r="C13" s="2892" t="s">
        <v>2365</v>
      </c>
      <c r="D13" s="2893"/>
      <c r="E13" s="2894"/>
      <c r="F13" s="2883"/>
      <c r="G13" s="2884"/>
      <c r="H13" s="2840"/>
      <c r="I13" s="2841"/>
      <c r="J13" s="3756"/>
      <c r="K13" s="3758"/>
      <c r="L13" s="2875" t="s">
        <v>2366</v>
      </c>
      <c r="M13" s="2876"/>
      <c r="N13" s="2852"/>
      <c r="O13" s="2877"/>
      <c r="P13" s="2877"/>
      <c r="Q13" s="2878">
        <v>365</v>
      </c>
      <c r="R13" s="2879">
        <f t="shared" si="0"/>
        <v>0</v>
      </c>
      <c r="S13" s="2833"/>
      <c r="T13" s="2833"/>
      <c r="U13" s="2833"/>
      <c r="V13" s="2841"/>
    </row>
    <row r="14" spans="1:22" s="2845" customFormat="1" ht="13.35" customHeight="1">
      <c r="A14" s="2888" t="s">
        <v>2367</v>
      </c>
      <c r="B14" s="3762" t="s">
        <v>2368</v>
      </c>
      <c r="C14" s="3763"/>
      <c r="D14" s="2889">
        <f>ROUND(E14*B5/10000,0)</f>
        <v>0</v>
      </c>
      <c r="E14" s="2878"/>
      <c r="F14" s="2883" t="s">
        <v>2369</v>
      </c>
      <c r="G14" s="2884"/>
      <c r="H14" s="2840"/>
      <c r="I14" s="2841"/>
      <c r="J14" s="3756"/>
      <c r="K14" s="3759"/>
      <c r="L14" s="2895" t="s">
        <v>2370</v>
      </c>
      <c r="M14" s="2896">
        <f>SUM(M7:M13)</f>
        <v>0</v>
      </c>
      <c r="N14" s="2896" t="e">
        <f>ROUND((N7*M7+N8*M8+N9*M9+N10*M10+N11*M11+N12*M12+N13*M13)/M14,0)</f>
        <v>#DIV/0!</v>
      </c>
      <c r="O14" s="2897"/>
      <c r="P14" s="2897"/>
      <c r="Q14" s="2898"/>
      <c r="R14" s="2844">
        <f>SUM(R7:R13)</f>
        <v>0</v>
      </c>
      <c r="S14" s="2833"/>
      <c r="T14" s="2833"/>
      <c r="U14" s="2833"/>
      <c r="V14" s="2841"/>
    </row>
    <row r="15" spans="1:22" s="2845" customFormat="1" ht="13.35" customHeight="1">
      <c r="A15" s="2888" t="s">
        <v>2371</v>
      </c>
      <c r="B15" s="3762" t="s">
        <v>2372</v>
      </c>
      <c r="C15" s="3763"/>
      <c r="D15" s="2889">
        <f>ROUND(D6*E15,0)</f>
        <v>0</v>
      </c>
      <c r="E15" s="2890">
        <v>5.5E-2</v>
      </c>
      <c r="F15" s="2883" t="s">
        <v>2373</v>
      </c>
      <c r="G15" s="2865"/>
      <c r="H15" s="2840"/>
      <c r="I15" s="2841"/>
      <c r="J15" s="3756">
        <v>2</v>
      </c>
      <c r="K15" s="3757" t="s">
        <v>2374</v>
      </c>
      <c r="L15" s="2875" t="s">
        <v>2375</v>
      </c>
      <c r="M15" s="2876" t="s">
        <v>2376</v>
      </c>
      <c r="N15" s="2876" t="s">
        <v>2377</v>
      </c>
      <c r="O15" s="2877" t="s">
        <v>2378</v>
      </c>
      <c r="P15" s="2877" t="s">
        <v>2340</v>
      </c>
      <c r="Q15" s="2852" t="s">
        <v>2379</v>
      </c>
      <c r="R15" s="2899" t="s">
        <v>2341</v>
      </c>
      <c r="S15" s="2833"/>
      <c r="T15" s="2833"/>
      <c r="U15" s="2833"/>
      <c r="V15" s="2841"/>
    </row>
    <row r="16" spans="1:22" s="2845" customFormat="1" ht="13.35" customHeight="1">
      <c r="A16" s="2888" t="s">
        <v>2380</v>
      </c>
      <c r="B16" s="3762" t="s">
        <v>2381</v>
      </c>
      <c r="C16" s="3763"/>
      <c r="D16" s="2900">
        <f>D6*E16</f>
        <v>0</v>
      </c>
      <c r="E16" s="2901"/>
      <c r="F16" s="2886" t="s">
        <v>2382</v>
      </c>
      <c r="G16" s="2865"/>
      <c r="H16" s="2840"/>
      <c r="I16" s="2841"/>
      <c r="J16" s="3756"/>
      <c r="K16" s="3758"/>
      <c r="L16" s="2875" t="s">
        <v>2383</v>
      </c>
      <c r="M16" s="2876"/>
      <c r="N16" s="2876"/>
      <c r="O16" s="2877"/>
      <c r="P16" s="2878">
        <v>365</v>
      </c>
      <c r="Q16" s="2852"/>
      <c r="R16" s="2899">
        <f>ROUND(M16*N16*O16*P16/10000,0)</f>
        <v>0</v>
      </c>
      <c r="S16" s="2833"/>
      <c r="T16" s="2833"/>
      <c r="U16" s="2833"/>
      <c r="V16" s="2841"/>
    </row>
    <row r="17" spans="1:22" s="2845" customFormat="1" ht="13.35" customHeight="1" thickBot="1">
      <c r="A17" s="2902">
        <v>4</v>
      </c>
      <c r="B17" s="3764" t="s">
        <v>2384</v>
      </c>
      <c r="C17" s="3765"/>
      <c r="D17" s="2903">
        <f>ROUND(D6*E17,0)</f>
        <v>0</v>
      </c>
      <c r="E17" s="2904"/>
      <c r="F17" s="2905" t="s">
        <v>2385</v>
      </c>
      <c r="G17" s="2865"/>
      <c r="H17" s="2840"/>
      <c r="I17" s="2841"/>
      <c r="J17" s="3756"/>
      <c r="K17" s="3758"/>
      <c r="L17" s="2875" t="s">
        <v>2386</v>
      </c>
      <c r="M17" s="2876"/>
      <c r="N17" s="2876"/>
      <c r="O17" s="2877"/>
      <c r="P17" s="2878">
        <v>365</v>
      </c>
      <c r="Q17" s="2852"/>
      <c r="R17" s="2899">
        <f>ROUND(M17*N17*O17*P17/10000,0)</f>
        <v>0</v>
      </c>
      <c r="S17" s="2833"/>
      <c r="T17" s="2833"/>
      <c r="U17" s="2833"/>
      <c r="V17" s="2841"/>
    </row>
    <row r="18" spans="1:22" s="2845" customFormat="1" ht="13.35" customHeight="1" thickBot="1">
      <c r="A18" s="2868" t="s">
        <v>2387</v>
      </c>
      <c r="B18" s="2869"/>
      <c r="C18" s="2869"/>
      <c r="D18" s="2906">
        <f>ROUND(D6*E18,0)</f>
        <v>0</v>
      </c>
      <c r="E18" s="2907"/>
      <c r="F18" s="2908" t="s">
        <v>2388</v>
      </c>
      <c r="G18" s="2865"/>
      <c r="H18" s="2840"/>
      <c r="I18" s="2841"/>
      <c r="J18" s="3756"/>
      <c r="K18" s="3758"/>
      <c r="L18" s="2875" t="s">
        <v>2389</v>
      </c>
      <c r="M18" s="2876"/>
      <c r="N18" s="2876"/>
      <c r="O18" s="2877"/>
      <c r="P18" s="2878">
        <v>365</v>
      </c>
      <c r="Q18" s="2852"/>
      <c r="R18" s="2899">
        <f>ROUND(M18*N18*O18*P18/10000,0)</f>
        <v>0</v>
      </c>
      <c r="S18" s="2833"/>
      <c r="T18" s="2833"/>
      <c r="U18" s="2833"/>
      <c r="V18" s="2841"/>
    </row>
    <row r="19" spans="1:22" s="2845" customFormat="1" ht="13.35" customHeight="1" thickBot="1">
      <c r="A19" s="2909" t="s">
        <v>2390</v>
      </c>
      <c r="B19" s="2863"/>
      <c r="C19" s="2863"/>
      <c r="D19" s="2863"/>
      <c r="E19" s="2863"/>
      <c r="F19" s="2864"/>
      <c r="G19" s="2884"/>
      <c r="H19" s="2840"/>
      <c r="I19" s="2841"/>
      <c r="J19" s="3756"/>
      <c r="K19" s="3759"/>
      <c r="L19" s="2895" t="s">
        <v>2370</v>
      </c>
      <c r="M19" s="2896"/>
      <c r="N19" s="2896">
        <f>SUM(N16:N18)</f>
        <v>0</v>
      </c>
      <c r="O19" s="2897"/>
      <c r="P19" s="2910" t="s">
        <v>2434</v>
      </c>
      <c r="Q19" s="2877">
        <v>0</v>
      </c>
      <c r="R19" s="2911">
        <f>ROUND(IF(P19="按比例",R14*Q19,SUM(R16:R18)),0)</f>
        <v>0</v>
      </c>
      <c r="S19" s="2833"/>
      <c r="T19" s="2833"/>
      <c r="U19" s="2833"/>
      <c r="V19" s="2841"/>
    </row>
    <row r="20" spans="1:22" s="2845" customFormat="1" ht="13.35" customHeight="1">
      <c r="A20" s="2868"/>
      <c r="B20" s="2869"/>
      <c r="C20" s="2869"/>
      <c r="D20" s="2869"/>
      <c r="E20" s="2869"/>
      <c r="F20" s="2912"/>
      <c r="G20" s="2884"/>
      <c r="H20" s="2840"/>
      <c r="I20" s="2841"/>
      <c r="J20" s="3756">
        <v>3</v>
      </c>
      <c r="K20" s="3757" t="s">
        <v>2391</v>
      </c>
      <c r="L20" s="2875" t="s">
        <v>2392</v>
      </c>
      <c r="M20" s="2876" t="s">
        <v>2393</v>
      </c>
      <c r="N20" s="2913" t="s">
        <v>2394</v>
      </c>
      <c r="O20" s="2877" t="s">
        <v>2395</v>
      </c>
      <c r="P20" s="2878" t="s">
        <v>2396</v>
      </c>
      <c r="Q20" s="2852" t="s">
        <v>2397</v>
      </c>
      <c r="R20" s="2899" t="s">
        <v>2398</v>
      </c>
      <c r="S20" s="2914"/>
      <c r="T20" s="2914"/>
      <c r="U20" s="2914"/>
      <c r="V20" s="2841"/>
    </row>
    <row r="21" spans="1:22" s="2845" customFormat="1" ht="13.35" customHeight="1">
      <c r="A21" s="2868"/>
      <c r="B21" s="2869"/>
      <c r="C21" s="2915" t="s">
        <v>2399</v>
      </c>
      <c r="D21" s="2916" t="s">
        <v>2400</v>
      </c>
      <c r="E21" s="2917" t="s">
        <v>2401</v>
      </c>
      <c r="F21" s="2912"/>
      <c r="G21" s="2884"/>
      <c r="H21" s="2840"/>
      <c r="I21" s="2841"/>
      <c r="J21" s="3756"/>
      <c r="K21" s="3758"/>
      <c r="L21" s="2875" t="s">
        <v>2402</v>
      </c>
      <c r="M21" s="2876"/>
      <c r="N21" s="2876"/>
      <c r="O21" s="2877"/>
      <c r="P21" s="2878">
        <v>365</v>
      </c>
      <c r="Q21" s="2852"/>
      <c r="R21" s="2918">
        <f>ROUND(M21*N21*O21*P21/10000,0)</f>
        <v>0</v>
      </c>
      <c r="S21" s="2914"/>
      <c r="T21" s="2914"/>
      <c r="U21" s="2914"/>
      <c r="V21" s="2841"/>
    </row>
    <row r="22" spans="1:22" s="2845" customFormat="1" ht="13.35" customHeight="1">
      <c r="A22" s="2868"/>
      <c r="B22" s="2869"/>
      <c r="C22" s="2919" t="s">
        <v>2403</v>
      </c>
      <c r="D22" s="2920" t="s">
        <v>2404</v>
      </c>
      <c r="E22" s="2921" t="s">
        <v>2405</v>
      </c>
      <c r="F22" s="2912"/>
      <c r="G22" s="2922"/>
      <c r="H22" s="2840"/>
      <c r="I22" s="2841"/>
      <c r="J22" s="3756"/>
      <c r="K22" s="3758"/>
      <c r="L22" s="2875" t="s">
        <v>2406</v>
      </c>
      <c r="M22" s="2876"/>
      <c r="N22" s="2876"/>
      <c r="O22" s="2877"/>
      <c r="P22" s="2878">
        <v>365</v>
      </c>
      <c r="Q22" s="2852"/>
      <c r="R22" s="2918">
        <f>ROUND(M22*N22*O22*P22/10000,0)</f>
        <v>0</v>
      </c>
      <c r="S22" s="2914"/>
      <c r="T22" s="2914"/>
      <c r="U22" s="2914"/>
      <c r="V22" s="2841"/>
    </row>
    <row r="23" spans="1:22" s="2845" customFormat="1" ht="13.35" customHeight="1">
      <c r="A23" s="2923">
        <v>1</v>
      </c>
      <c r="B23" s="2924" t="s">
        <v>2407</v>
      </c>
      <c r="C23" s="2925">
        <f>D6</f>
        <v>0</v>
      </c>
      <c r="D23" s="2926">
        <f>C23*(1+D24)</f>
        <v>0</v>
      </c>
      <c r="E23" s="2927">
        <f>D23*(1+E24)</f>
        <v>0</v>
      </c>
      <c r="F23" s="2928"/>
      <c r="G23" s="2929"/>
      <c r="H23" s="2840"/>
      <c r="I23" s="2841"/>
      <c r="J23" s="3756"/>
      <c r="K23" s="3758"/>
      <c r="L23" s="2875" t="s">
        <v>2408</v>
      </c>
      <c r="M23" s="2876"/>
      <c r="N23" s="2876"/>
      <c r="O23" s="2877"/>
      <c r="P23" s="2878">
        <v>365</v>
      </c>
      <c r="Q23" s="2852"/>
      <c r="R23" s="2918">
        <f>ROUND(M23*N23*O23*P23/10000,0)</f>
        <v>0</v>
      </c>
      <c r="S23" s="2833"/>
      <c r="T23" s="2833"/>
      <c r="U23" s="2833"/>
      <c r="V23" s="2841"/>
    </row>
    <row r="24" spans="1:22" s="2845" customFormat="1" ht="13.35" customHeight="1">
      <c r="A24" s="2930"/>
      <c r="B24" s="2931" t="s">
        <v>2409</v>
      </c>
      <c r="C24" s="2932"/>
      <c r="D24" s="2933"/>
      <c r="E24" s="2934"/>
      <c r="F24" s="2935"/>
      <c r="G24" s="2929"/>
      <c r="H24" s="2840"/>
      <c r="I24" s="2841"/>
      <c r="J24" s="3756"/>
      <c r="K24" s="3759"/>
      <c r="L24" s="2895" t="s">
        <v>2370</v>
      </c>
      <c r="M24" s="2896">
        <f>SUM(M21:M23)</f>
        <v>0</v>
      </c>
      <c r="N24" s="2896"/>
      <c r="O24" s="2897"/>
      <c r="P24" s="2910" t="s">
        <v>2434</v>
      </c>
      <c r="Q24" s="2877">
        <v>0</v>
      </c>
      <c r="R24" s="2911">
        <f>ROUND(IF(P24="按比例",R14*Q24,SUM(R21:R23)),0)</f>
        <v>0</v>
      </c>
      <c r="S24" s="2833"/>
      <c r="T24" s="2833"/>
      <c r="U24" s="2833"/>
      <c r="V24" s="2841"/>
    </row>
    <row r="25" spans="1:22" s="2942" customFormat="1" ht="13.35" customHeight="1">
      <c r="A25" s="2930"/>
      <c r="B25" s="2931"/>
      <c r="C25" s="2932"/>
      <c r="D25" s="2933"/>
      <c r="E25" s="2934"/>
      <c r="F25" s="2935"/>
      <c r="G25" s="2922"/>
      <c r="H25" s="2840"/>
      <c r="I25" s="2841"/>
      <c r="J25" s="2936">
        <v>4</v>
      </c>
      <c r="K25" s="2937" t="s">
        <v>2410</v>
      </c>
      <c r="L25" s="2938"/>
      <c r="M25" s="2938"/>
      <c r="N25" s="2938"/>
      <c r="O25" s="2938"/>
      <c r="P25" s="2939"/>
      <c r="Q25" s="2940">
        <v>0</v>
      </c>
      <c r="R25" s="2911">
        <f>ROUND(R14*Q25,0)</f>
        <v>0</v>
      </c>
      <c r="S25" s="2833"/>
      <c r="T25" s="2833"/>
      <c r="U25" s="2833"/>
      <c r="V25" s="2941"/>
    </row>
    <row r="26" spans="1:22" s="2942" customFormat="1" ht="13.35" customHeight="1">
      <c r="A26" s="2923">
        <v>2</v>
      </c>
      <c r="B26" s="2924" t="s">
        <v>2411</v>
      </c>
      <c r="C26" s="2925">
        <f>D7</f>
        <v>0</v>
      </c>
      <c r="D26" s="2926">
        <f>D23*D27</f>
        <v>0</v>
      </c>
      <c r="E26" s="2927">
        <f>E23*E27</f>
        <v>0</v>
      </c>
      <c r="F26" s="2928"/>
      <c r="G26" s="2929"/>
      <c r="H26" s="2840"/>
      <c r="I26" s="2841"/>
      <c r="J26" s="3766">
        <v>5</v>
      </c>
      <c r="K26" s="2943" t="s">
        <v>2412</v>
      </c>
      <c r="L26" s="2944"/>
      <c r="M26" s="2945"/>
      <c r="N26" s="2946" t="s">
        <v>2413</v>
      </c>
      <c r="O26" s="2946" t="s">
        <v>2414</v>
      </c>
      <c r="P26" s="2947" t="s">
        <v>2415</v>
      </c>
      <c r="Q26" s="2947" t="s">
        <v>2416</v>
      </c>
      <c r="R26" s="2850" t="s">
        <v>2341</v>
      </c>
      <c r="S26" s="2948"/>
      <c r="T26" s="2948"/>
      <c r="U26" s="2948"/>
      <c r="V26" s="2941"/>
    </row>
    <row r="27" spans="1:22" s="2845" customFormat="1" ht="13.35" customHeight="1">
      <c r="A27" s="2930"/>
      <c r="B27" s="2931" t="s">
        <v>2417</v>
      </c>
      <c r="C27" s="2949" t="e">
        <f>E7</f>
        <v>#DIV/0!</v>
      </c>
      <c r="D27" s="2933"/>
      <c r="E27" s="2934"/>
      <c r="F27" s="2935"/>
      <c r="G27" s="2929"/>
      <c r="H27" s="2950"/>
      <c r="I27" s="2941"/>
      <c r="J27" s="3767"/>
      <c r="K27" s="2951"/>
      <c r="L27" s="2952"/>
      <c r="M27" s="2953"/>
      <c r="N27" s="2954"/>
      <c r="O27" s="2954"/>
      <c r="P27" s="2954"/>
      <c r="Q27" s="2955"/>
      <c r="R27" s="2911">
        <f>ROUND(O27*N27*P27*(1-Q27)/10000,0)</f>
        <v>0</v>
      </c>
      <c r="S27" s="2833"/>
      <c r="T27" s="2833"/>
      <c r="U27" s="2833"/>
      <c r="V27" s="2841"/>
    </row>
    <row r="28" spans="1:22" s="2942" customFormat="1" ht="13.35" customHeight="1" thickBot="1">
      <c r="A28" s="2930"/>
      <c r="B28" s="2931"/>
      <c r="C28" s="2949"/>
      <c r="D28" s="2933"/>
      <c r="E28" s="2934" t="s">
        <v>2418</v>
      </c>
      <c r="F28" s="2935"/>
      <c r="G28" s="2922"/>
      <c r="H28" s="2950"/>
      <c r="I28" s="2941"/>
      <c r="J28" s="2956">
        <v>6</v>
      </c>
      <c r="K28" s="2957" t="s">
        <v>2419</v>
      </c>
      <c r="L28" s="2958" t="s">
        <v>2420</v>
      </c>
      <c r="M28" s="2959"/>
      <c r="N28" s="2958" t="s">
        <v>2421</v>
      </c>
      <c r="O28" s="2960"/>
      <c r="P28" s="2958" t="s">
        <v>2422</v>
      </c>
      <c r="Q28" s="2961">
        <v>1.4999999999999999E-2</v>
      </c>
      <c r="R28" s="2962"/>
      <c r="S28" s="2914"/>
      <c r="T28" s="2914"/>
      <c r="U28" s="2914"/>
      <c r="V28" s="2941"/>
    </row>
    <row r="29" spans="1:22" s="2942" customFormat="1" ht="13.35" customHeight="1">
      <c r="A29" s="2923">
        <v>3</v>
      </c>
      <c r="B29" s="2924" t="s">
        <v>2423</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35" customHeight="1" thickBot="1">
      <c r="A30" s="2930"/>
      <c r="B30" s="2931" t="s">
        <v>2417</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35" customHeight="1">
      <c r="A31" s="2930"/>
      <c r="B31" s="2931"/>
      <c r="C31" s="2964"/>
      <c r="D31" s="2963"/>
      <c r="E31" s="2894"/>
      <c r="F31" s="2935"/>
      <c r="G31" s="2922"/>
      <c r="H31" s="2950"/>
      <c r="I31" s="2941"/>
      <c r="J31" s="2830" t="s">
        <v>2424</v>
      </c>
      <c r="K31" s="2831"/>
      <c r="L31" s="2831"/>
      <c r="M31" s="2831"/>
      <c r="N31" s="2831"/>
      <c r="O31" s="2831"/>
      <c r="P31" s="2831"/>
      <c r="Q31" s="2831"/>
      <c r="R31" s="2832"/>
      <c r="S31" s="2914"/>
      <c r="T31" s="2833"/>
      <c r="U31" s="2833"/>
      <c r="V31" s="2941"/>
    </row>
    <row r="32" spans="1:22" s="2942" customFormat="1" ht="13.35" customHeight="1">
      <c r="A32" s="2923">
        <v>4</v>
      </c>
      <c r="B32" s="2924" t="s">
        <v>2425</v>
      </c>
      <c r="C32" s="2925">
        <f>C23-C26-C29</f>
        <v>0</v>
      </c>
      <c r="D32" s="2926">
        <f>D23-D26-D29</f>
        <v>0</v>
      </c>
      <c r="E32" s="2927">
        <f>E23-E26-E29</f>
        <v>0</v>
      </c>
      <c r="F32" s="2928"/>
      <c r="G32" s="2922"/>
      <c r="H32" s="2840"/>
      <c r="I32" s="2841"/>
      <c r="J32" s="3749" t="s">
        <v>2317</v>
      </c>
      <c r="K32" s="3750"/>
      <c r="L32" s="2842" t="s">
        <v>2318</v>
      </c>
      <c r="M32" s="2842" t="s">
        <v>2319</v>
      </c>
      <c r="N32" s="2842" t="s">
        <v>2320</v>
      </c>
      <c r="O32" s="2842" t="s">
        <v>2321</v>
      </c>
      <c r="P32" s="2842" t="s">
        <v>2322</v>
      </c>
      <c r="Q32" s="2843" t="s">
        <v>2323</v>
      </c>
      <c r="R32" s="2965" t="s">
        <v>2324</v>
      </c>
      <c r="S32" s="2914"/>
      <c r="T32" s="2833"/>
      <c r="U32" s="2833"/>
      <c r="V32" s="2941"/>
    </row>
    <row r="33" spans="1:23" s="2845" customFormat="1" ht="13.35" customHeight="1">
      <c r="A33" s="2923"/>
      <c r="B33" s="2924"/>
      <c r="C33" s="2925"/>
      <c r="D33" s="2966"/>
      <c r="E33" s="2967"/>
      <c r="F33" s="2928"/>
      <c r="G33" s="2922"/>
      <c r="H33" s="2950"/>
      <c r="I33" s="2941"/>
      <c r="J33" s="3751" t="s">
        <v>2327</v>
      </c>
      <c r="K33" s="3752"/>
      <c r="L33" s="2848"/>
      <c r="M33" s="2848"/>
      <c r="N33" s="2848"/>
      <c r="O33" s="2848"/>
      <c r="P33" s="2848"/>
      <c r="Q33" s="2849"/>
      <c r="R33" s="2968">
        <f>SUM(L33:Q33)</f>
        <v>0</v>
      </c>
      <c r="S33" s="2914"/>
      <c r="T33" s="2833"/>
      <c r="U33" s="2833"/>
      <c r="V33" s="2841"/>
    </row>
    <row r="34" spans="1:23" s="2845" customFormat="1" ht="13.35" customHeight="1">
      <c r="A34" s="2923">
        <v>5</v>
      </c>
      <c r="B34" s="2924" t="s">
        <v>2426</v>
      </c>
      <c r="C34" s="2969"/>
      <c r="D34" s="2970"/>
      <c r="E34" s="2971"/>
      <c r="F34" s="2928"/>
      <c r="G34" s="2922"/>
      <c r="H34" s="2950"/>
      <c r="I34" s="2941"/>
      <c r="J34" s="3751" t="s">
        <v>2329</v>
      </c>
      <c r="K34" s="3752"/>
      <c r="L34" s="2853"/>
      <c r="M34" s="2853"/>
      <c r="N34" s="2853"/>
      <c r="O34" s="2853"/>
      <c r="P34" s="2853"/>
      <c r="Q34" s="2854"/>
      <c r="R34" s="2972">
        <f>SUM(L34:Q34)</f>
        <v>0</v>
      </c>
      <c r="S34" s="2914"/>
      <c r="T34" s="2833"/>
      <c r="U34" s="2833" t="e">
        <f>ROUND(R35*10000/365/R33,1)</f>
        <v>#DIV/0!</v>
      </c>
      <c r="V34" s="2841"/>
    </row>
    <row r="35" spans="1:23" s="2845" customFormat="1" ht="13.35" customHeight="1">
      <c r="A35" s="2923">
        <v>6</v>
      </c>
      <c r="B35" s="2924" t="s">
        <v>2427</v>
      </c>
      <c r="C35" s="2973"/>
      <c r="D35" s="2974"/>
      <c r="E35" s="2975"/>
      <c r="F35" s="2928"/>
      <c r="G35" s="2976"/>
      <c r="H35" s="2840"/>
      <c r="I35" s="2941"/>
      <c r="J35" s="2859" t="s">
        <v>2331</v>
      </c>
      <c r="K35" s="2860"/>
      <c r="L35" s="2860"/>
      <c r="M35" s="2861"/>
      <c r="N35" s="2861"/>
      <c r="O35" s="2861"/>
      <c r="P35" s="2861"/>
      <c r="Q35" s="2861"/>
      <c r="R35" s="2977">
        <f>R40+R41+R43</f>
        <v>0</v>
      </c>
      <c r="S35" s="2914"/>
      <c r="T35" s="2833" t="s">
        <v>2332</v>
      </c>
      <c r="U35" s="2833"/>
      <c r="V35" s="2841"/>
    </row>
    <row r="36" spans="1:23" s="2845" customFormat="1" ht="13.35" customHeight="1" thickBot="1">
      <c r="A36" s="2923">
        <v>7</v>
      </c>
      <c r="B36" s="2978" t="s">
        <v>2428</v>
      </c>
      <c r="C36" s="2979"/>
      <c r="D36" s="2980"/>
      <c r="E36" s="2981"/>
      <c r="F36" s="2982">
        <f>C36+D36+E36</f>
        <v>0</v>
      </c>
      <c r="G36" s="2922"/>
      <c r="H36" s="2840"/>
      <c r="I36" s="2841"/>
      <c r="J36" s="3756">
        <v>1</v>
      </c>
      <c r="K36" s="3757" t="s">
        <v>2429</v>
      </c>
      <c r="L36" s="2866"/>
      <c r="M36" s="2867"/>
      <c r="N36" s="2867"/>
      <c r="O36" s="2867"/>
      <c r="P36" s="2867"/>
      <c r="Q36" s="2867"/>
      <c r="R36" s="2850" t="s">
        <v>2341</v>
      </c>
      <c r="S36" s="2914"/>
      <c r="T36" s="2833" t="s">
        <v>2342</v>
      </c>
      <c r="U36" s="2833"/>
      <c r="V36" s="2841"/>
    </row>
    <row r="37" spans="1:23" s="2845" customFormat="1" ht="13.35" customHeight="1">
      <c r="A37" s="2923"/>
      <c r="B37" s="2924"/>
      <c r="C37" s="2924"/>
      <c r="D37" s="2924"/>
      <c r="E37" s="2924"/>
      <c r="F37" s="2928"/>
      <c r="G37" s="2922"/>
      <c r="H37" s="2840"/>
      <c r="I37" s="2841"/>
      <c r="J37" s="3756"/>
      <c r="K37" s="3758"/>
      <c r="L37" s="2875"/>
      <c r="M37" s="2876"/>
      <c r="N37" s="2852"/>
      <c r="O37" s="2877"/>
      <c r="P37" s="2877"/>
      <c r="Q37" s="2878"/>
      <c r="R37" s="2879"/>
      <c r="S37" s="2914"/>
      <c r="T37" s="2833" t="s">
        <v>2345</v>
      </c>
      <c r="U37" s="2833"/>
      <c r="V37" s="2841"/>
    </row>
    <row r="38" spans="1:23" s="2845" customFormat="1" ht="13.35" customHeight="1">
      <c r="A38" s="2923">
        <v>8</v>
      </c>
      <c r="B38" s="2924"/>
      <c r="C38" s="2881" t="e">
        <f>ROUND(C32*(1-((1+C35)/(1+C34))^C36)/(C34-C35),0)</f>
        <v>#DIV/0!</v>
      </c>
      <c r="D38" s="2881">
        <f>IF(D23=0,0,ROUND(D32*(1-((1+D35)/(1+D34))^D36)/(D34-D35),0))</f>
        <v>0</v>
      </c>
      <c r="E38" s="2881">
        <f>IF(E23=0,0,ROUND(E32*(1-((1+E35)/(1+E34))^E36)/(E34-E35),0))</f>
        <v>0</v>
      </c>
      <c r="F38" s="2928"/>
      <c r="G38" s="2922"/>
      <c r="H38" s="2840"/>
      <c r="I38" s="2841"/>
      <c r="J38" s="3756"/>
      <c r="K38" s="3758"/>
      <c r="L38" s="2875"/>
      <c r="M38" s="2876"/>
      <c r="N38" s="2852"/>
      <c r="O38" s="2877"/>
      <c r="P38" s="2877"/>
      <c r="Q38" s="2878"/>
      <c r="R38" s="2879"/>
      <c r="S38" s="2914"/>
      <c r="T38" s="2833" t="s">
        <v>2352</v>
      </c>
      <c r="U38" s="2833"/>
      <c r="V38" s="2841"/>
    </row>
    <row r="39" spans="1:23" s="2845" customFormat="1" ht="13.35" customHeight="1">
      <c r="A39" s="2923">
        <v>9</v>
      </c>
      <c r="B39" s="2924" t="s">
        <v>2430</v>
      </c>
      <c r="C39" s="2889" t="e">
        <f>C38</f>
        <v>#DIV/0!</v>
      </c>
      <c r="D39" s="2924">
        <f>D38/(1+D34)^C36</f>
        <v>0</v>
      </c>
      <c r="E39" s="2924">
        <f>E38/(1+E34)^(C36+D36)</f>
        <v>0</v>
      </c>
      <c r="F39" s="2928"/>
      <c r="G39" s="2983"/>
      <c r="H39" s="2840"/>
      <c r="I39" s="2841"/>
      <c r="J39" s="3756"/>
      <c r="K39" s="3758"/>
      <c r="L39" s="2875"/>
      <c r="M39" s="2876"/>
      <c r="N39" s="2852"/>
      <c r="O39" s="2877"/>
      <c r="P39" s="2877"/>
      <c r="Q39" s="2878"/>
      <c r="R39" s="2879"/>
      <c r="S39" s="2914"/>
      <c r="T39" s="2833"/>
      <c r="U39" s="2833"/>
      <c r="V39" s="2841"/>
    </row>
    <row r="40" spans="1:23" s="2845" customFormat="1" ht="13.35" customHeight="1">
      <c r="A40" s="2984">
        <v>10</v>
      </c>
      <c r="B40" s="2924" t="s">
        <v>2431</v>
      </c>
      <c r="C40" s="2985" t="e">
        <f>C39+D39+E39</f>
        <v>#DIV/0!</v>
      </c>
      <c r="D40" s="2986"/>
      <c r="E40" s="2986"/>
      <c r="F40" s="2987"/>
      <c r="G40" s="2922"/>
      <c r="H40" s="2840"/>
      <c r="I40" s="2841"/>
      <c r="J40" s="3756"/>
      <c r="K40" s="3759"/>
      <c r="L40" s="2895" t="s">
        <v>2370</v>
      </c>
      <c r="M40" s="2896"/>
      <c r="N40" s="2896"/>
      <c r="O40" s="2897"/>
      <c r="P40" s="2897"/>
      <c r="Q40" s="2898"/>
      <c r="R40" s="2844">
        <f>SUM(R37:R39)</f>
        <v>0</v>
      </c>
      <c r="S40" s="2914"/>
      <c r="T40" s="2833"/>
      <c r="U40" s="2833"/>
      <c r="V40" s="2841"/>
    </row>
    <row r="41" spans="1:23" s="2845" customFormat="1" ht="13.35" customHeight="1" thickBot="1">
      <c r="A41" s="2988">
        <v>11</v>
      </c>
      <c r="B41" s="2989" t="s">
        <v>2432</v>
      </c>
      <c r="C41" s="2989" t="e">
        <f>ROUND(C40*10000/B4,0)</f>
        <v>#DIV/0!</v>
      </c>
      <c r="D41" s="2990"/>
      <c r="E41" s="2990"/>
      <c r="F41" s="2991"/>
      <c r="G41" s="2992"/>
      <c r="H41" s="2840"/>
      <c r="I41" s="2841"/>
      <c r="J41" s="2936">
        <v>2</v>
      </c>
      <c r="K41" s="2937" t="s">
        <v>2410</v>
      </c>
      <c r="L41" s="2938"/>
      <c r="M41" s="2938"/>
      <c r="N41" s="2938"/>
      <c r="O41" s="2938"/>
      <c r="P41" s="2939"/>
      <c r="Q41" s="2940"/>
      <c r="R41" s="2911">
        <f>ROUND(R40*Q41,0)</f>
        <v>0</v>
      </c>
      <c r="S41" s="2914"/>
      <c r="T41" s="2833"/>
      <c r="U41" s="2948"/>
      <c r="V41" s="2841"/>
    </row>
    <row r="42" spans="1:23" s="2845" customFormat="1" ht="13.35" customHeight="1">
      <c r="G42" s="2992"/>
      <c r="H42" s="2840"/>
      <c r="I42" s="2841"/>
      <c r="J42" s="3766">
        <v>3</v>
      </c>
      <c r="K42" s="2943" t="s">
        <v>2412</v>
      </c>
      <c r="L42" s="2944"/>
      <c r="M42" s="2945"/>
      <c r="N42" s="2946" t="s">
        <v>2413</v>
      </c>
      <c r="O42" s="2946" t="s">
        <v>2414</v>
      </c>
      <c r="P42" s="2947" t="s">
        <v>2415</v>
      </c>
      <c r="Q42" s="2947" t="s">
        <v>2416</v>
      </c>
      <c r="R42" s="2850" t="s">
        <v>2341</v>
      </c>
      <c r="S42" s="2948"/>
      <c r="T42" s="2948"/>
      <c r="U42" s="2833"/>
      <c r="V42" s="2841"/>
    </row>
    <row r="43" spans="1:23" ht="13.35" customHeight="1">
      <c r="A43" s="2845"/>
      <c r="B43" s="2845"/>
      <c r="C43" s="2845"/>
      <c r="D43" s="2845"/>
      <c r="E43" s="2845"/>
      <c r="F43" s="2845"/>
      <c r="I43" s="2828"/>
      <c r="J43" s="3767"/>
      <c r="K43" s="2951"/>
      <c r="L43" s="2952"/>
      <c r="M43" s="2953"/>
      <c r="N43" s="2876"/>
      <c r="O43" s="2876"/>
      <c r="P43" s="2876"/>
      <c r="Q43" s="2940"/>
      <c r="R43" s="2911">
        <f>ROUND(O43*N43*P43*(1-Q43)/10000,0)</f>
        <v>0</v>
      </c>
      <c r="S43" s="2914"/>
      <c r="T43" s="2833"/>
      <c r="V43" s="2994"/>
      <c r="W43" s="2995"/>
    </row>
    <row r="44" spans="1:23" ht="13.35" customHeight="1" thickBot="1">
      <c r="J44" s="2956">
        <v>6</v>
      </c>
      <c r="K44" s="2957" t="s">
        <v>2419</v>
      </c>
      <c r="L44" s="2996" t="s">
        <v>2420</v>
      </c>
      <c r="M44" s="2959"/>
      <c r="N44" s="2996" t="s">
        <v>2421</v>
      </c>
      <c r="O44" s="2959"/>
      <c r="P44" s="2996" t="s">
        <v>2422</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9"/>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599">
        <f>SUM(E6:E13)</f>
        <v>0</v>
      </c>
      <c r="F2" s="2699"/>
      <c r="G2" s="1485"/>
      <c r="H2" s="1485"/>
      <c r="I2" s="1485"/>
      <c r="J2" s="1485"/>
      <c r="K2" s="1485"/>
      <c r="L2" s="1485"/>
      <c r="M2" s="1485"/>
      <c r="N2" s="1485"/>
      <c r="O2" s="1485"/>
      <c r="P2" s="1485"/>
      <c r="Q2" s="1485"/>
      <c r="R2" s="1485"/>
      <c r="S2" s="1485"/>
    </row>
    <row r="3" spans="1:22" ht="15.75">
      <c r="A3" s="1866" t="s">
        <v>686</v>
      </c>
      <c r="B3" s="2593" t="e">
        <f ca="1">ROUND(B2*10000/E2,0)</f>
        <v>#DIV/0!</v>
      </c>
      <c r="C3" s="1868" t="s">
        <v>1659</v>
      </c>
      <c r="D3" s="2701"/>
      <c r="E3" s="2703"/>
      <c r="F3" s="2699"/>
      <c r="G3" s="1485"/>
      <c r="H3" s="1485"/>
      <c r="I3" s="1485"/>
      <c r="J3" s="1485"/>
      <c r="K3" s="1485"/>
      <c r="L3" s="1485"/>
      <c r="M3" s="1485"/>
      <c r="N3" s="1485"/>
      <c r="O3" s="1485"/>
      <c r="P3" s="1485"/>
      <c r="Q3" s="1485"/>
      <c r="R3" s="1485"/>
      <c r="S3" s="1485"/>
    </row>
    <row r="4" spans="1:22" ht="15.75">
      <c r="A4" s="2704"/>
      <c r="B4" s="2701"/>
      <c r="C4" s="2701"/>
      <c r="D4" s="2701"/>
      <c r="E4" s="2703"/>
      <c r="F4" s="2699"/>
      <c r="G4" s="1485"/>
      <c r="H4" s="1485"/>
      <c r="I4" s="1485"/>
      <c r="J4" s="1485"/>
      <c r="K4" s="1485"/>
      <c r="L4" s="1485"/>
      <c r="M4" s="1485"/>
      <c r="N4" s="1485"/>
      <c r="O4" s="1485"/>
      <c r="P4" s="1485"/>
      <c r="Q4" s="1485"/>
      <c r="R4" s="1485"/>
      <c r="S4" s="1485"/>
    </row>
    <row r="5" spans="1:22" ht="15">
      <c r="A5" s="2595" t="s">
        <v>1653</v>
      </c>
      <c r="B5" s="3768" t="s">
        <v>1654</v>
      </c>
      <c r="C5" s="3769"/>
      <c r="D5" s="2700"/>
      <c r="E5" s="1870" t="s">
        <v>1655</v>
      </c>
      <c r="F5" s="1871" t="s">
        <v>1656</v>
      </c>
      <c r="G5" s="1485"/>
      <c r="H5" s="1485"/>
      <c r="I5" s="1485"/>
      <c r="J5" s="1485"/>
      <c r="K5" s="1485"/>
      <c r="L5" s="1485"/>
      <c r="M5" s="1485"/>
      <c r="N5" s="1485"/>
      <c r="O5" s="1485"/>
      <c r="P5" s="1485"/>
      <c r="Q5" s="1485"/>
      <c r="R5" s="1485"/>
      <c r="S5" s="1485"/>
    </row>
    <row r="6" spans="1:22">
      <c r="A6" s="2596">
        <f>'数据-取费表'!AN6</f>
        <v>0</v>
      </c>
      <c r="B6" s="2594" t="e">
        <f ca="1">IF(F6="是",'数据-取费表'!AO6,0)</f>
        <v>#REF!</v>
      </c>
      <c r="C6" s="1868" t="s">
        <v>1651</v>
      </c>
      <c r="D6" s="2701"/>
      <c r="E6" s="2598">
        <f>IF(OR(A6=0,F6="否"),0,'数据-取费表'!K6+'数据-取费表'!S6)</f>
        <v>0</v>
      </c>
      <c r="F6" s="1872" t="s">
        <v>1657</v>
      </c>
      <c r="G6" s="1485"/>
      <c r="H6" s="1485"/>
      <c r="I6" s="1485"/>
      <c r="J6" s="1485"/>
      <c r="K6" s="1485"/>
      <c r="L6" s="1485"/>
      <c r="M6" s="1485"/>
      <c r="N6" s="1485"/>
      <c r="O6" s="1485"/>
      <c r="P6" s="1485"/>
      <c r="Q6" s="1485"/>
      <c r="R6" s="1485"/>
      <c r="S6" s="1485"/>
    </row>
    <row r="7" spans="1:22">
      <c r="A7" s="2596">
        <f>'数据-取费表'!AN7</f>
        <v>0</v>
      </c>
      <c r="B7" s="2594" t="e">
        <f ca="1">IF(F7="是",'数据-取费表'!AO7,0)</f>
        <v>#REF!</v>
      </c>
      <c r="C7" s="1868" t="s">
        <v>1651</v>
      </c>
      <c r="D7" s="2701"/>
      <c r="E7" s="2598">
        <f>IF(OR(A7=0,F7="否"),0,'数据-取费表'!K7+'数据-取费表'!S7)</f>
        <v>0</v>
      </c>
      <c r="F7" s="1872" t="s">
        <v>1657</v>
      </c>
      <c r="G7" s="1485"/>
      <c r="H7" s="1485"/>
      <c r="I7" s="1485"/>
      <c r="J7" s="1485"/>
      <c r="K7" s="1485"/>
      <c r="L7" s="1485"/>
      <c r="M7" s="1485"/>
      <c r="N7" s="1485"/>
      <c r="O7" s="1485"/>
      <c r="P7" s="1485"/>
      <c r="Q7" s="1485"/>
      <c r="R7" s="1485"/>
      <c r="S7" s="1485"/>
    </row>
    <row r="8" spans="1:22">
      <c r="A8" s="2596">
        <f>'数据-取费表'!AN8</f>
        <v>0</v>
      </c>
      <c r="B8" s="2594" t="e">
        <f ca="1">IF(F8="是",'数据-取费表'!AO8,0)</f>
        <v>#REF!</v>
      </c>
      <c r="C8" s="1868" t="s">
        <v>1651</v>
      </c>
      <c r="D8" s="2701"/>
      <c r="E8" s="2598">
        <f>IF(OR(A8=0,F8="否"),0,'数据-取费表'!K8+'数据-取费表'!S8)</f>
        <v>0</v>
      </c>
      <c r="F8" s="1872" t="s">
        <v>1657</v>
      </c>
      <c r="G8" s="1485"/>
      <c r="H8" s="1485"/>
      <c r="I8" s="1485"/>
      <c r="J8" s="1485"/>
      <c r="K8" s="1485"/>
      <c r="L8" s="1485"/>
      <c r="M8" s="1485"/>
      <c r="N8" s="1485"/>
      <c r="O8" s="1485"/>
      <c r="P8" s="1485"/>
      <c r="Q8" s="1485"/>
      <c r="R8" s="1485"/>
      <c r="S8" s="1485"/>
    </row>
    <row r="9" spans="1:22">
      <c r="A9" s="2596">
        <f>'数据-取费表'!AN9</f>
        <v>0</v>
      </c>
      <c r="B9" s="2594" t="e">
        <f ca="1">IF(F9="是",'数据-取费表'!AO9,0)</f>
        <v>#REF!</v>
      </c>
      <c r="C9" s="1868" t="s">
        <v>1651</v>
      </c>
      <c r="D9" s="2701"/>
      <c r="E9" s="2598">
        <f>IF(OR(A9=0,F9="否"),0,'数据-取费表'!K9+'数据-取费表'!S9)</f>
        <v>0</v>
      </c>
      <c r="F9" s="1872" t="s">
        <v>1657</v>
      </c>
      <c r="G9" s="1485"/>
      <c r="H9" s="1485"/>
      <c r="I9" s="1485"/>
      <c r="J9" s="1485"/>
      <c r="K9" s="1485"/>
      <c r="L9" s="1485"/>
      <c r="M9" s="1485"/>
      <c r="N9" s="1485"/>
      <c r="O9" s="1485"/>
      <c r="P9" s="1485"/>
      <c r="Q9" s="1485"/>
      <c r="R9" s="1485"/>
      <c r="S9" s="1485"/>
    </row>
    <row r="10" spans="1:22">
      <c r="A10" s="2596">
        <f>'数据-取费表'!AN10</f>
        <v>0</v>
      </c>
      <c r="B10" s="2594" t="e">
        <f ca="1">IF(F10="是",'数据-取费表'!AO10,0)</f>
        <v>#REF!</v>
      </c>
      <c r="C10" s="1868" t="s">
        <v>1651</v>
      </c>
      <c r="D10" s="2701"/>
      <c r="E10" s="2598">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6">
        <f>'数据-取费表'!AN11</f>
        <v>0</v>
      </c>
      <c r="B11" s="2594" t="e">
        <f ca="1">IF(F11="是",'数据-取费表'!AO11,0)</f>
        <v>#REF!</v>
      </c>
      <c r="C11" s="1868" t="s">
        <v>1651</v>
      </c>
      <c r="D11" s="2701"/>
      <c r="E11" s="2598">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6">
        <f>'数据-取费表'!AN12</f>
        <v>0</v>
      </c>
      <c r="B12" s="2594" t="e">
        <f ca="1">IF(F12="是",'数据-取费表'!AO12,0)</f>
        <v>#REF!</v>
      </c>
      <c r="C12" s="1868" t="s">
        <v>1651</v>
      </c>
      <c r="D12" s="2701"/>
      <c r="E12" s="2598">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7">
        <f>'数据-取费表'!AN13</f>
        <v>0</v>
      </c>
      <c r="B13" s="2594" t="e">
        <f ca="1">IF(F13="是",'数据-取费表'!AO13,0)</f>
        <v>#REF!</v>
      </c>
      <c r="C13" s="1873" t="s">
        <v>1651</v>
      </c>
      <c r="D13" s="2702"/>
      <c r="E13" s="2598">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9" t="s">
        <v>903</v>
      </c>
    </row>
    <row r="12" spans="1:1" ht="18.75">
      <c r="A12" s="1477" t="s">
        <v>904</v>
      </c>
    </row>
    <row r="13" spans="1:1" ht="38.25" customHeight="1">
      <c r="A13" s="1480" t="str">
        <f>IF(项目基本情况!B8="抵押",IF(项目基本情况!B5=项目基本情况!B6,定义!C51,定义!B51),定义!D51)</f>
        <v>为估价委托人了解估价对象房地产市场价值提供参考依据。</v>
      </c>
    </row>
    <row r="14" spans="1:1" ht="18.75">
      <c r="A14" s="1481" t="s">
        <v>905</v>
      </c>
    </row>
    <row r="15" spans="1:1" ht="18">
      <c r="A15" s="1482" t="str">
        <f>TEXT(项目基本情况!D3,"yyyy年m月d日;;")&amp;IF(项目基本情况!D3=项目基本情况!B3,"（评估专业人员实地查勘之日）","")</f>
        <v>2023年2月13日（评估专业人员实地查勘之日）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13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本次评估采用的主估价方法为成本法和比较法。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B105" zoomScale="84" zoomScaleNormal="60" zoomScaleSheetLayoutView="84" workbookViewId="0">
      <selection activeCell="F120" sqref="F120"/>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12.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1661</v>
      </c>
      <c r="C1" s="1234" t="s">
        <v>1662</v>
      </c>
      <c r="D1" s="1221" t="s">
        <v>3408</v>
      </c>
      <c r="E1" s="3418"/>
      <c r="F1" s="1875" t="s">
        <v>3556</v>
      </c>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19" t="b">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5"/>
      <c r="M2" s="2706"/>
      <c r="N2" s="2706"/>
      <c r="O2" s="2706"/>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29939</v>
      </c>
      <c r="C3" s="351" t="s">
        <v>1665</v>
      </c>
      <c r="D3" s="350">
        <f>IF(D1="",'数据-汇总表'!E3,SUMIF('数据-汇总表'!$C19:$C33,D1,'数据-汇总表'!$E19:$E33))</f>
        <v>1</v>
      </c>
      <c r="E3" s="903"/>
      <c r="F3" s="1884"/>
      <c r="G3" s="903"/>
      <c r="H3" s="903"/>
      <c r="I3" s="903"/>
      <c r="J3" s="903"/>
      <c r="K3" s="1880"/>
      <c r="L3" s="2705"/>
      <c r="M3" s="2706"/>
      <c r="N3" s="2706"/>
      <c r="O3" s="2706"/>
      <c r="P3" s="1881"/>
      <c r="Q3" s="1882"/>
      <c r="R3" s="1882"/>
      <c r="S3" s="1882"/>
      <c r="T3" s="1882"/>
      <c r="U3" s="1882"/>
      <c r="V3" s="1882"/>
      <c r="W3" s="1882"/>
      <c r="X3" s="1882"/>
      <c r="Y3" s="1882"/>
      <c r="Z3" s="1882"/>
      <c r="AA3" s="1882"/>
      <c r="AB3" s="1882"/>
      <c r="AC3" s="1057"/>
    </row>
    <row r="4" spans="1:29" ht="15">
      <c r="A4" s="352" t="s">
        <v>1666</v>
      </c>
      <c r="B4" s="353"/>
      <c r="C4" s="3710" t="s">
        <v>1667</v>
      </c>
      <c r="D4" s="3711"/>
      <c r="E4" s="3712" t="s">
        <v>1668</v>
      </c>
      <c r="F4" s="3713"/>
      <c r="G4" s="3710" t="s">
        <v>1669</v>
      </c>
      <c r="H4" s="3711"/>
      <c r="I4" s="3710" t="s">
        <v>1670</v>
      </c>
      <c r="J4" s="3711"/>
      <c r="K4" s="1885" t="s">
        <v>1671</v>
      </c>
      <c r="L4" s="2707"/>
      <c r="M4" s="2708"/>
      <c r="N4" s="2708"/>
      <c r="O4" s="2708"/>
      <c r="P4" s="3714" t="s">
        <v>1672</v>
      </c>
      <c r="Q4" s="3715"/>
      <c r="R4" s="3697" t="s">
        <v>1668</v>
      </c>
      <c r="S4" s="3698"/>
      <c r="T4" s="3697" t="s">
        <v>1669</v>
      </c>
      <c r="U4" s="3698"/>
      <c r="V4" s="3722" t="s">
        <v>1670</v>
      </c>
      <c r="W4" s="3722"/>
      <c r="X4" s="1351"/>
      <c r="Y4" s="3697" t="s">
        <v>1672</v>
      </c>
      <c r="Z4" s="3698"/>
      <c r="AA4" s="3692" t="s">
        <v>1668</v>
      </c>
      <c r="AB4" s="3692" t="s">
        <v>1669</v>
      </c>
      <c r="AC4" s="3692" t="s">
        <v>1670</v>
      </c>
    </row>
    <row r="5" spans="1:29" ht="35.1" customHeight="1">
      <c r="A5" s="355"/>
      <c r="B5" s="356"/>
      <c r="C5" s="3703" t="str">
        <f>'土地比较法-住宅、综合'!C5:D5</f>
        <v>关于瀛海镇区级统筹集建地YZ00-0803-2006等地块共有产权房项目</v>
      </c>
      <c r="D5" s="3704"/>
      <c r="E5" s="3770" t="s">
        <v>3498</v>
      </c>
      <c r="F5" s="3771"/>
      <c r="G5" s="3770" t="s">
        <v>3499</v>
      </c>
      <c r="H5" s="3771"/>
      <c r="I5" s="3774" t="s">
        <v>3500</v>
      </c>
      <c r="J5" s="3773"/>
      <c r="K5" s="1886"/>
      <c r="L5" s="2707"/>
      <c r="M5" s="2708"/>
      <c r="N5" s="2708"/>
      <c r="O5" s="2708"/>
      <c r="P5" s="3716"/>
      <c r="Q5" s="3717"/>
      <c r="R5" s="3699"/>
      <c r="S5" s="3700"/>
      <c r="T5" s="3699"/>
      <c r="U5" s="3700"/>
      <c r="V5" s="3722"/>
      <c r="W5" s="3722"/>
      <c r="X5" s="1351"/>
      <c r="Y5" s="3699"/>
      <c r="Z5" s="3700"/>
      <c r="AA5" s="3693"/>
      <c r="AB5" s="3693"/>
      <c r="AC5" s="3693"/>
    </row>
    <row r="6" spans="1:29" ht="15.75" thickBot="1">
      <c r="A6" s="357"/>
      <c r="B6" s="358"/>
      <c r="C6" s="3772" t="s">
        <v>3558</v>
      </c>
      <c r="D6" s="3773"/>
      <c r="E6" s="3775" t="s">
        <v>3558</v>
      </c>
      <c r="F6" s="3771"/>
      <c r="G6" s="3772" t="s">
        <v>3558</v>
      </c>
      <c r="H6" s="3773"/>
      <c r="I6" s="3772" t="s">
        <v>3558</v>
      </c>
      <c r="J6" s="3773"/>
      <c r="K6" s="1886" t="s">
        <v>1678</v>
      </c>
      <c r="L6" s="2707"/>
      <c r="M6" s="2708"/>
      <c r="N6" s="2708"/>
      <c r="O6" s="2708"/>
      <c r="P6" s="3718"/>
      <c r="Q6" s="3719"/>
      <c r="R6" s="3699"/>
      <c r="S6" s="3700"/>
      <c r="T6" s="3720"/>
      <c r="U6" s="3721"/>
      <c r="V6" s="3722"/>
      <c r="W6" s="3722"/>
      <c r="X6" s="1351"/>
      <c r="Y6" s="3720"/>
      <c r="Z6" s="3721"/>
      <c r="AA6" s="3694"/>
      <c r="AB6" s="3694"/>
      <c r="AC6" s="3694"/>
    </row>
    <row r="7" spans="1:29" s="108" customFormat="1" ht="15.75" thickBot="1">
      <c r="A7" s="359" t="s">
        <v>1679</v>
      </c>
      <c r="B7" s="360"/>
      <c r="C7" s="361">
        <f>'数据-取费表'!B2</f>
        <v>44970</v>
      </c>
      <c r="D7" s="362">
        <v>100</v>
      </c>
      <c r="E7" s="363">
        <f>'土地比较法-住宅、综合'!E7</f>
        <v>44237.000497685185</v>
      </c>
      <c r="F7" s="364">
        <v>99</v>
      </c>
      <c r="G7" s="363">
        <f>'土地比较法-住宅、综合'!G7</f>
        <v>44190.000497685185</v>
      </c>
      <c r="H7" s="362">
        <v>98.5</v>
      </c>
      <c r="I7" s="363">
        <f>'土地比较法-住宅、综合'!I7</f>
        <v>43720.000497685185</v>
      </c>
      <c r="J7" s="362">
        <v>98</v>
      </c>
      <c r="K7" s="1887"/>
      <c r="L7" s="2709"/>
      <c r="M7" s="2710"/>
      <c r="N7" s="2710"/>
      <c r="O7" s="2710"/>
      <c r="P7" s="3695" t="s">
        <v>1680</v>
      </c>
      <c r="Q7" s="3725"/>
      <c r="R7" s="697" t="s">
        <v>20</v>
      </c>
      <c r="S7" s="698">
        <f t="shared" ref="S7:S15" si="0">F7</f>
        <v>99</v>
      </c>
      <c r="T7" s="697" t="s">
        <v>20</v>
      </c>
      <c r="U7" s="698">
        <f t="shared" ref="U7:U15" si="1">H7</f>
        <v>98.5</v>
      </c>
      <c r="V7" s="697" t="s">
        <v>20</v>
      </c>
      <c r="W7" s="698">
        <f t="shared" ref="W7:W15" si="2">J7</f>
        <v>98</v>
      </c>
      <c r="X7" s="699"/>
      <c r="Y7" s="3695" t="s">
        <v>1680</v>
      </c>
      <c r="Z7" s="3696"/>
      <c r="AA7" s="700">
        <f>D7/F7</f>
        <v>1.0101010101010102</v>
      </c>
      <c r="AB7" s="700">
        <f>D7/H7</f>
        <v>1.015228426395939</v>
      </c>
      <c r="AC7" s="700">
        <f>D7/J7</f>
        <v>1.0204081632653061</v>
      </c>
    </row>
    <row r="8" spans="1:29" s="108" customFormat="1" ht="15.75" thickBot="1">
      <c r="A8" s="359" t="s">
        <v>1681</v>
      </c>
      <c r="B8" s="360"/>
      <c r="C8" s="365" t="s">
        <v>3501</v>
      </c>
      <c r="D8" s="362">
        <v>100</v>
      </c>
      <c r="E8" s="365" t="s">
        <v>3501</v>
      </c>
      <c r="F8" s="364">
        <f>SUMIF(61:61,E8,62:62)-SUMIF(61:61,C8,62:62)+100</f>
        <v>100</v>
      </c>
      <c r="G8" s="365" t="s">
        <v>3501</v>
      </c>
      <c r="H8" s="362">
        <f>SUMIF(61:61,G8,62:62)-SUMIF(61:61,C8,62:62)+100</f>
        <v>100</v>
      </c>
      <c r="I8" s="365" t="s">
        <v>3501</v>
      </c>
      <c r="J8" s="362">
        <f>SUMIF(61:61,I8,62:62)-SUMIF(61:61,C8,62:62)+100</f>
        <v>100</v>
      </c>
      <c r="K8" s="1887"/>
      <c r="L8" s="2709"/>
      <c r="M8" s="2710"/>
      <c r="N8" s="2710"/>
      <c r="O8" s="2710"/>
      <c r="P8" s="3695" t="s">
        <v>1683</v>
      </c>
      <c r="Q8" s="3696"/>
      <c r="R8" s="697" t="s">
        <v>20</v>
      </c>
      <c r="S8" s="698">
        <f t="shared" si="0"/>
        <v>100</v>
      </c>
      <c r="T8" s="697" t="s">
        <v>20</v>
      </c>
      <c r="U8" s="698">
        <f t="shared" si="1"/>
        <v>100</v>
      </c>
      <c r="V8" s="697" t="s">
        <v>20</v>
      </c>
      <c r="W8" s="698">
        <f t="shared" si="2"/>
        <v>100</v>
      </c>
      <c r="X8" s="699"/>
      <c r="Y8" s="3695" t="s">
        <v>1683</v>
      </c>
      <c r="Z8" s="3696"/>
      <c r="AA8" s="700">
        <f t="shared" ref="AA8:AA19" si="3">D8/F8</f>
        <v>1</v>
      </c>
      <c r="AB8" s="700">
        <f t="shared" ref="AB8:AB19" si="4">D8/H8</f>
        <v>1</v>
      </c>
      <c r="AC8" s="700">
        <f t="shared" ref="AC8:AC19" si="5">D8/J8</f>
        <v>1</v>
      </c>
    </row>
    <row r="9" spans="1:29" s="108" customFormat="1">
      <c r="A9" s="366" t="s">
        <v>1684</v>
      </c>
      <c r="B9" s="63" t="s">
        <v>1685</v>
      </c>
      <c r="C9" s="367" t="s">
        <v>3559</v>
      </c>
      <c r="D9" s="124">
        <v>100</v>
      </c>
      <c r="E9" s="368" t="s">
        <v>3406</v>
      </c>
      <c r="F9" s="369">
        <f>SUMIF(63:63,E9,64:64)-SUMIF(63:63,C9,64:64)+100</f>
        <v>100</v>
      </c>
      <c r="G9" s="368" t="s">
        <v>3406</v>
      </c>
      <c r="H9" s="124">
        <f>SUMIF(63:63,G9,64:64)-SUMIF(63:63,C9,64:64)+100</f>
        <v>100</v>
      </c>
      <c r="I9" s="368" t="s">
        <v>3406</v>
      </c>
      <c r="J9" s="124">
        <f>SUMIF(63:63,I9,64:64)-SUMIF(63:63,C9,64:64)+100</f>
        <v>100</v>
      </c>
      <c r="K9" s="1887"/>
      <c r="L9" s="2709"/>
      <c r="M9" s="2710"/>
      <c r="N9" s="2710"/>
      <c r="O9" s="2710"/>
      <c r="P9" s="3735" t="s">
        <v>1686</v>
      </c>
      <c r="Q9" s="1339" t="str">
        <f t="shared" ref="Q9:Q15" si="6">B9</f>
        <v>用途</v>
      </c>
      <c r="R9" s="697" t="s">
        <v>14</v>
      </c>
      <c r="S9" s="698">
        <f t="shared" si="0"/>
        <v>100</v>
      </c>
      <c r="T9" s="697" t="s">
        <v>14</v>
      </c>
      <c r="U9" s="698">
        <f t="shared" si="1"/>
        <v>100</v>
      </c>
      <c r="V9" s="697" t="s">
        <v>14</v>
      </c>
      <c r="W9" s="698">
        <f t="shared" si="2"/>
        <v>100</v>
      </c>
      <c r="X9" s="699"/>
      <c r="Y9" s="3660" t="s">
        <v>1687</v>
      </c>
      <c r="Z9" s="52" t="str">
        <f t="shared" ref="Z9:Z15" si="7">Q9</f>
        <v>用途</v>
      </c>
      <c r="AA9" s="700">
        <f t="shared" si="3"/>
        <v>1</v>
      </c>
      <c r="AB9" s="700">
        <f t="shared" si="4"/>
        <v>1</v>
      </c>
      <c r="AC9" s="700">
        <f t="shared" si="5"/>
        <v>1</v>
      </c>
    </row>
    <row r="10" spans="1:29" s="375" customFormat="1" ht="27">
      <c r="A10" s="371"/>
      <c r="B10" s="372" t="s">
        <v>1688</v>
      </c>
      <c r="C10" s="3426" t="s">
        <v>3560</v>
      </c>
      <c r="D10" s="125">
        <v>100</v>
      </c>
      <c r="E10" s="3427" t="s">
        <v>3560</v>
      </c>
      <c r="F10" s="373">
        <f>SUMIF(65:65,E10,66:66)-SUMIF(65:65,C10,66:66)+100</f>
        <v>100</v>
      </c>
      <c r="G10" s="3426" t="s">
        <v>3560</v>
      </c>
      <c r="H10" s="125">
        <f>SUMIF(65:65,G10,66:66)-SUMIF(65:65,C10,66:66)+100</f>
        <v>100</v>
      </c>
      <c r="I10" s="3426" t="s">
        <v>3560</v>
      </c>
      <c r="J10" s="125">
        <f>SUMIF(65:65,I10,66:66)-SUMIF(65:65,C10,66:66)+100</f>
        <v>100</v>
      </c>
      <c r="K10" s="1887"/>
      <c r="L10" s="2711"/>
      <c r="M10" s="2712"/>
      <c r="N10" s="2712"/>
      <c r="O10" s="2712"/>
      <c r="P10" s="3735"/>
      <c r="Q10" s="1339" t="str">
        <f t="shared" si="6"/>
        <v>土地使用年限（年）</v>
      </c>
      <c r="R10" s="697" t="s">
        <v>14</v>
      </c>
      <c r="S10" s="698">
        <f t="shared" si="0"/>
        <v>100</v>
      </c>
      <c r="T10" s="697" t="s">
        <v>14</v>
      </c>
      <c r="U10" s="698">
        <f t="shared" si="1"/>
        <v>100</v>
      </c>
      <c r="V10" s="697" t="s">
        <v>14</v>
      </c>
      <c r="W10" s="698">
        <f t="shared" si="2"/>
        <v>100</v>
      </c>
      <c r="X10" s="699"/>
      <c r="Y10" s="3660"/>
      <c r="Z10" s="52" t="str">
        <f t="shared" si="7"/>
        <v>土地使用年限（年）</v>
      </c>
      <c r="AA10" s="700">
        <f t="shared" si="3"/>
        <v>1</v>
      </c>
      <c r="AB10" s="700">
        <f t="shared" si="4"/>
        <v>1</v>
      </c>
      <c r="AC10" s="700">
        <f t="shared" si="5"/>
        <v>1</v>
      </c>
    </row>
    <row r="11" spans="1:29" ht="15">
      <c r="A11" s="376"/>
      <c r="B11" s="372" t="s">
        <v>1689</v>
      </c>
      <c r="C11" s="377">
        <f>'土地比较法-住宅、综合'!C11</f>
        <v>2.2000000000000002</v>
      </c>
      <c r="D11" s="125">
        <v>100</v>
      </c>
      <c r="E11" s="378">
        <f>'土地比较法-住宅、综合'!E11</f>
        <v>2.5</v>
      </c>
      <c r="F11" s="373">
        <f>LOOKUP(E11,68:68,69:69)-LOOKUP(C11,68:68,69:69)+100</f>
        <v>98.5</v>
      </c>
      <c r="G11" s="377">
        <f>'土地比较法-住宅、综合'!G11</f>
        <v>2.37</v>
      </c>
      <c r="H11" s="125">
        <f>LOOKUP(G11,68:68,69:69)-LOOKUP(C11,68:68,69:69)+100</f>
        <v>99.5</v>
      </c>
      <c r="I11" s="377">
        <f>'土地比较法-住宅、综合'!I11</f>
        <v>2.2599999999999998</v>
      </c>
      <c r="J11" s="125">
        <f>LOOKUP(I11,68:68,69:69)-LOOKUP(C11,68:68,69:69)+100</f>
        <v>100</v>
      </c>
      <c r="K11" s="374">
        <v>0.5</v>
      </c>
      <c r="L11" s="2713"/>
      <c r="M11" s="2708"/>
      <c r="N11" s="2708"/>
      <c r="O11" s="2708"/>
      <c r="P11" s="3735"/>
      <c r="Q11" s="1339" t="str">
        <f t="shared" si="6"/>
        <v>容积率</v>
      </c>
      <c r="R11" s="697" t="s">
        <v>18</v>
      </c>
      <c r="S11" s="698">
        <f t="shared" si="0"/>
        <v>98.5</v>
      </c>
      <c r="T11" s="697" t="s">
        <v>18</v>
      </c>
      <c r="U11" s="698">
        <f t="shared" si="1"/>
        <v>99.5</v>
      </c>
      <c r="V11" s="697" t="s">
        <v>18</v>
      </c>
      <c r="W11" s="698">
        <f t="shared" si="2"/>
        <v>100</v>
      </c>
      <c r="X11" s="699"/>
      <c r="Y11" s="3660"/>
      <c r="Z11" s="52" t="str">
        <f t="shared" si="7"/>
        <v>容积率</v>
      </c>
      <c r="AA11" s="700">
        <f t="shared" si="3"/>
        <v>1.015228426395939</v>
      </c>
      <c r="AB11" s="700">
        <f t="shared" si="4"/>
        <v>1.0050251256281406</v>
      </c>
      <c r="AC11" s="700">
        <f t="shared" si="5"/>
        <v>1</v>
      </c>
    </row>
    <row r="12" spans="1:29" s="108" customFormat="1" ht="15">
      <c r="A12" s="379"/>
      <c r="B12" s="1888" t="s">
        <v>3561</v>
      </c>
      <c r="C12" s="380" t="s">
        <v>3562</v>
      </c>
      <c r="D12" s="381">
        <v>100</v>
      </c>
      <c r="E12" s="380" t="s">
        <v>3562</v>
      </c>
      <c r="F12" s="373">
        <f>SUMIF(70:70,E12,71:71)-SUMIF(70:70,C12,71:71)+100</f>
        <v>100</v>
      </c>
      <c r="G12" s="380" t="s">
        <v>3562</v>
      </c>
      <c r="H12" s="125">
        <f>SUMIF(70:70,G12,71:71)-SUMIF(70:70,C12,71:71)+100</f>
        <v>100</v>
      </c>
      <c r="I12" s="380" t="s">
        <v>3562</v>
      </c>
      <c r="J12" s="125">
        <f>SUMIF(70:70,I12,71:71)-SUMIF(70:70,C12,71:71)+100</f>
        <v>100</v>
      </c>
      <c r="K12" s="1889"/>
      <c r="L12" s="2709"/>
      <c r="M12" s="2710"/>
      <c r="N12" s="2710"/>
      <c r="O12" s="2710"/>
      <c r="P12" s="3735"/>
      <c r="Q12" s="1339" t="str">
        <f t="shared" si="6"/>
        <v>产权性质</v>
      </c>
      <c r="R12" s="697" t="s">
        <v>18</v>
      </c>
      <c r="S12" s="698">
        <f t="shared" si="0"/>
        <v>100</v>
      </c>
      <c r="T12" s="697" t="s">
        <v>18</v>
      </c>
      <c r="U12" s="698">
        <f t="shared" si="1"/>
        <v>100</v>
      </c>
      <c r="V12" s="697" t="s">
        <v>18</v>
      </c>
      <c r="W12" s="698">
        <f t="shared" si="2"/>
        <v>100</v>
      </c>
      <c r="X12" s="699"/>
      <c r="Y12" s="3660"/>
      <c r="Z12" s="52" t="str">
        <f t="shared" si="7"/>
        <v>产权性质</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1889"/>
      <c r="L13" s="2714"/>
      <c r="M13" s="2708"/>
      <c r="N13" s="2708"/>
      <c r="O13" s="2708"/>
      <c r="P13" s="3735"/>
      <c r="Q13" s="1339">
        <f t="shared" si="6"/>
        <v>111</v>
      </c>
      <c r="R13" s="697" t="s">
        <v>18</v>
      </c>
      <c r="S13" s="698">
        <f t="shared" si="0"/>
        <v>100</v>
      </c>
      <c r="T13" s="697" t="s">
        <v>18</v>
      </c>
      <c r="U13" s="698">
        <f t="shared" si="1"/>
        <v>100</v>
      </c>
      <c r="V13" s="697" t="s">
        <v>18</v>
      </c>
      <c r="W13" s="698">
        <f t="shared" si="2"/>
        <v>100</v>
      </c>
      <c r="X13" s="699"/>
      <c r="Y13" s="3660"/>
      <c r="Z13" s="52">
        <f t="shared" si="7"/>
        <v>111</v>
      </c>
      <c r="AA13" s="700">
        <f t="shared" si="3"/>
        <v>1</v>
      </c>
      <c r="AB13" s="700">
        <f t="shared" si="4"/>
        <v>1</v>
      </c>
      <c r="AC13" s="700">
        <f t="shared" si="5"/>
        <v>1</v>
      </c>
    </row>
    <row r="14" spans="1:29" ht="15.75" thickBot="1">
      <c r="A14" s="384"/>
      <c r="B14" s="1890">
        <v>111</v>
      </c>
      <c r="C14" s="385"/>
      <c r="D14" s="386">
        <v>100</v>
      </c>
      <c r="E14" s="385"/>
      <c r="F14" s="387">
        <f>SUMIF(74:74,E14,75:75)-SUMIF(74:74,C14,75:75)+100</f>
        <v>100</v>
      </c>
      <c r="G14" s="385"/>
      <c r="H14" s="386">
        <f>SUMIF(74:74,G14,75:75)-SUMIF(74:74,C14,75:75)+100</f>
        <v>100</v>
      </c>
      <c r="I14" s="385"/>
      <c r="J14" s="386">
        <f>SUMIF(74:74,I14,75:75)-SUMIF(74:74,C14,75:75)+100</f>
        <v>100</v>
      </c>
      <c r="K14" s="1889"/>
      <c r="L14" s="2714"/>
      <c r="M14" s="2708"/>
      <c r="N14" s="2708"/>
      <c r="O14" s="2708"/>
      <c r="P14" s="3735"/>
      <c r="Q14" s="1339">
        <f t="shared" si="6"/>
        <v>111</v>
      </c>
      <c r="R14" s="697" t="s">
        <v>18</v>
      </c>
      <c r="S14" s="698">
        <f t="shared" si="0"/>
        <v>100</v>
      </c>
      <c r="T14" s="697" t="s">
        <v>18</v>
      </c>
      <c r="U14" s="698">
        <f t="shared" si="1"/>
        <v>100</v>
      </c>
      <c r="V14" s="697" t="s">
        <v>18</v>
      </c>
      <c r="W14" s="698">
        <f t="shared" si="2"/>
        <v>100</v>
      </c>
      <c r="X14" s="699"/>
      <c r="Y14" s="3660"/>
      <c r="Z14" s="52">
        <f t="shared" si="7"/>
        <v>111</v>
      </c>
      <c r="AA14" s="700">
        <f t="shared" si="3"/>
        <v>1</v>
      </c>
      <c r="AB14" s="700">
        <f t="shared" si="4"/>
        <v>1</v>
      </c>
      <c r="AC14" s="700">
        <f t="shared" si="5"/>
        <v>1</v>
      </c>
    </row>
    <row r="15" spans="1:29" ht="54" customHeight="1">
      <c r="A15" s="388" t="s">
        <v>1690</v>
      </c>
      <c r="B15" s="61" t="s">
        <v>1257</v>
      </c>
      <c r="C15" s="1891" t="str">
        <f>估价对象房地状况!C3</f>
        <v>估价对象周边有瀛海家园、永旭家园、兴海园、玉璟园等住宅小区，居住用地比例、居住小区规模和社区发展完善程度，综合评价居住社区成熟度一般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v>2</v>
      </c>
      <c r="L15" s="2714"/>
      <c r="M15" s="2708"/>
      <c r="N15" s="2708"/>
      <c r="O15" s="2708"/>
      <c r="P15" s="3782" t="s">
        <v>1691</v>
      </c>
      <c r="Q15" s="1348" t="str">
        <f t="shared" si="6"/>
        <v>居住社区成熟度</v>
      </c>
      <c r="R15" s="701" t="s">
        <v>18</v>
      </c>
      <c r="S15" s="702">
        <f t="shared" si="0"/>
        <v>100</v>
      </c>
      <c r="T15" s="701" t="s">
        <v>18</v>
      </c>
      <c r="U15" s="702">
        <f t="shared" si="1"/>
        <v>100</v>
      </c>
      <c r="V15" s="701" t="s">
        <v>18</v>
      </c>
      <c r="W15" s="702">
        <f t="shared" si="2"/>
        <v>100</v>
      </c>
      <c r="X15" s="1351"/>
      <c r="Y15" s="3726" t="s">
        <v>1691</v>
      </c>
      <c r="Z15" s="1352" t="str">
        <f t="shared" si="7"/>
        <v>居住社区成熟度</v>
      </c>
      <c r="AA15" s="1349">
        <f t="shared" si="3"/>
        <v>1</v>
      </c>
      <c r="AB15" s="1349">
        <f t="shared" si="4"/>
        <v>1</v>
      </c>
      <c r="AC15" s="1349">
        <f t="shared" si="5"/>
        <v>1</v>
      </c>
    </row>
    <row r="16" spans="1:29" ht="15">
      <c r="A16" s="376"/>
      <c r="B16" s="394"/>
      <c r="C16" s="395" t="s">
        <v>3509</v>
      </c>
      <c r="D16" s="396"/>
      <c r="E16" s="1892" t="s">
        <v>3509</v>
      </c>
      <c r="F16" s="396"/>
      <c r="G16" s="1893" t="s">
        <v>3509</v>
      </c>
      <c r="H16" s="398"/>
      <c r="I16" s="1893" t="s">
        <v>3509</v>
      </c>
      <c r="J16" s="396"/>
      <c r="K16" s="1894"/>
      <c r="L16" s="2714"/>
      <c r="M16" s="2708"/>
      <c r="N16" s="2708"/>
      <c r="O16" s="2708"/>
      <c r="P16" s="3783"/>
      <c r="Q16" s="1348"/>
      <c r="R16" s="701"/>
      <c r="S16" s="702"/>
      <c r="T16" s="701"/>
      <c r="U16" s="702"/>
      <c r="V16" s="701"/>
      <c r="W16" s="702"/>
      <c r="X16" s="1351"/>
      <c r="Y16" s="3727"/>
      <c r="Z16" s="1352"/>
      <c r="AA16" s="1349">
        <v>1</v>
      </c>
      <c r="AB16" s="1349">
        <v>1</v>
      </c>
      <c r="AC16" s="1349">
        <v>1</v>
      </c>
    </row>
    <row r="17" spans="1:29" ht="47.1" customHeight="1">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v>2</v>
      </c>
      <c r="L17" s="2714"/>
      <c r="M17" s="2708"/>
      <c r="N17" s="2708"/>
      <c r="O17" s="2708"/>
      <c r="P17" s="3783"/>
      <c r="Q17" s="1348" t="str">
        <f>B17</f>
        <v>交通便捷度</v>
      </c>
      <c r="R17" s="701" t="s">
        <v>18</v>
      </c>
      <c r="S17" s="702">
        <f>F17</f>
        <v>100</v>
      </c>
      <c r="T17" s="701" t="s">
        <v>18</v>
      </c>
      <c r="U17" s="702">
        <f>H17</f>
        <v>100</v>
      </c>
      <c r="V17" s="701" t="s">
        <v>18</v>
      </c>
      <c r="W17" s="702">
        <f>J17</f>
        <v>100</v>
      </c>
      <c r="X17" s="1351"/>
      <c r="Y17" s="3727"/>
      <c r="Z17" s="1352" t="str">
        <f>Q17</f>
        <v>交通便捷度</v>
      </c>
      <c r="AA17" s="1349">
        <f t="shared" si="3"/>
        <v>1</v>
      </c>
      <c r="AB17" s="1349">
        <f t="shared" si="4"/>
        <v>1</v>
      </c>
      <c r="AC17" s="1349">
        <f t="shared" si="5"/>
        <v>1</v>
      </c>
    </row>
    <row r="18" spans="1:29" ht="15">
      <c r="A18" s="376"/>
      <c r="B18" s="404"/>
      <c r="C18" s="1896" t="s">
        <v>3546</v>
      </c>
      <c r="D18" s="398"/>
      <c r="E18" s="1897" t="s">
        <v>3546</v>
      </c>
      <c r="F18" s="398"/>
      <c r="G18" s="1898" t="s">
        <v>3546</v>
      </c>
      <c r="H18" s="396"/>
      <c r="I18" s="1898" t="s">
        <v>3546</v>
      </c>
      <c r="J18" s="396"/>
      <c r="K18" s="1894"/>
      <c r="L18" s="2714"/>
      <c r="M18" s="2708"/>
      <c r="N18" s="2708"/>
      <c r="O18" s="2708"/>
      <c r="P18" s="3783"/>
      <c r="Q18" s="1348"/>
      <c r="R18" s="701"/>
      <c r="S18" s="702"/>
      <c r="T18" s="701"/>
      <c r="U18" s="702"/>
      <c r="V18" s="701"/>
      <c r="W18" s="702"/>
      <c r="X18" s="1351"/>
      <c r="Y18" s="3727"/>
      <c r="Z18" s="1352"/>
      <c r="AA18" s="1349">
        <v>1</v>
      </c>
      <c r="AB18" s="1349">
        <v>1</v>
      </c>
      <c r="AC18" s="1349">
        <v>1</v>
      </c>
    </row>
    <row r="19" spans="1:29" ht="54" customHeight="1">
      <c r="A19" s="376"/>
      <c r="B19" s="399" t="s">
        <v>1258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SUMIF(80:80,E20,81:81)-SUMIF(80:80,C20,81:81)+100</f>
        <v>100</v>
      </c>
      <c r="G19" s="405"/>
      <c r="H19" s="398">
        <f>SUMIF(80:80,G20,81:81)-SUMIF(80:80,C20,81:81)+100</f>
        <v>100</v>
      </c>
      <c r="I19" s="405"/>
      <c r="J19" s="398">
        <f>SUMIF(80:80,I20,81:81)-SUMIF(80:80,C20,81:81)+100</f>
        <v>100</v>
      </c>
      <c r="K19" s="393">
        <v>2</v>
      </c>
      <c r="L19" s="2714"/>
      <c r="M19" s="2708"/>
      <c r="N19" s="2708"/>
      <c r="O19" s="2708"/>
      <c r="P19" s="3783"/>
      <c r="Q19" s="1348" t="str">
        <f>B19</f>
        <v>公共配套设施</v>
      </c>
      <c r="R19" s="701" t="s">
        <v>18</v>
      </c>
      <c r="S19" s="702">
        <f>F19</f>
        <v>100</v>
      </c>
      <c r="T19" s="701" t="s">
        <v>18</v>
      </c>
      <c r="U19" s="702">
        <f>H19</f>
        <v>100</v>
      </c>
      <c r="V19" s="701" t="s">
        <v>18</v>
      </c>
      <c r="W19" s="702">
        <f>J19</f>
        <v>100</v>
      </c>
      <c r="X19" s="1351"/>
      <c r="Y19" s="3727"/>
      <c r="Z19" s="1352" t="str">
        <f>Q19</f>
        <v>公共配套设施</v>
      </c>
      <c r="AA19" s="1349">
        <f t="shared" si="3"/>
        <v>1</v>
      </c>
      <c r="AB19" s="1349">
        <f t="shared" si="4"/>
        <v>1</v>
      </c>
      <c r="AC19" s="1349">
        <f t="shared" si="5"/>
        <v>1</v>
      </c>
    </row>
    <row r="20" spans="1:29" ht="15">
      <c r="A20" s="376"/>
      <c r="B20" s="404"/>
      <c r="C20" s="395" t="s">
        <v>3509</v>
      </c>
      <c r="D20" s="396"/>
      <c r="E20" s="1892" t="s">
        <v>3509</v>
      </c>
      <c r="F20" s="396"/>
      <c r="G20" s="1893" t="s">
        <v>3509</v>
      </c>
      <c r="H20" s="396"/>
      <c r="I20" s="1893" t="s">
        <v>3509</v>
      </c>
      <c r="J20" s="396"/>
      <c r="K20" s="1894"/>
      <c r="L20" s="2714"/>
      <c r="M20" s="2708"/>
      <c r="N20" s="2708"/>
      <c r="O20" s="2708"/>
      <c r="P20" s="3783"/>
      <c r="Q20" s="1348"/>
      <c r="R20" s="701"/>
      <c r="S20" s="702"/>
      <c r="T20" s="701"/>
      <c r="U20" s="702"/>
      <c r="V20" s="701"/>
      <c r="W20" s="702"/>
      <c r="X20" s="1351"/>
      <c r="Y20" s="3727"/>
      <c r="Z20" s="1352"/>
      <c r="AA20" s="1349">
        <v>1</v>
      </c>
      <c r="AB20" s="1349">
        <v>1</v>
      </c>
      <c r="AC20" s="1349">
        <v>1</v>
      </c>
    </row>
    <row r="21" spans="1:29" ht="42.75">
      <c r="A21" s="376"/>
      <c r="B21" s="1127" t="s">
        <v>1260</v>
      </c>
      <c r="C21" s="1895" t="str">
        <f>估价对象房地状况!C8</f>
        <v>估价对象所在区域基础设施水平-六通</v>
      </c>
      <c r="D21" s="398">
        <v>100</v>
      </c>
      <c r="E21" s="407"/>
      <c r="F21" s="403">
        <f>SUMIF(82:82,E22,83:83)-SUMIF(82:82,C22,83:83)+100</f>
        <v>100</v>
      </c>
      <c r="G21" s="405"/>
      <c r="H21" s="398">
        <f>SUMIF(82:82,G22,83:83)-SUMIF(82:82,C22,83:83)+100</f>
        <v>100</v>
      </c>
      <c r="I21" s="405"/>
      <c r="J21" s="398">
        <f>SUMIF(82:82,I22,83:83)-SUMIF(82:82,C22,83:83)+100</f>
        <v>100</v>
      </c>
      <c r="K21" s="393">
        <v>1</v>
      </c>
      <c r="L21" s="2714"/>
      <c r="M21" s="2708"/>
      <c r="N21" s="2708"/>
      <c r="O21" s="2708"/>
      <c r="P21" s="3783"/>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349">
        <f t="shared" ref="AC21" si="10">D21/J21</f>
        <v>1</v>
      </c>
    </row>
    <row r="22" spans="1:29" ht="15">
      <c r="A22" s="376"/>
      <c r="B22" s="1127"/>
      <c r="C22" s="1896" t="s">
        <v>3542</v>
      </c>
      <c r="D22" s="396"/>
      <c r="E22" s="395" t="s">
        <v>3542</v>
      </c>
      <c r="F22" s="396"/>
      <c r="G22" s="1899" t="s">
        <v>3542</v>
      </c>
      <c r="H22" s="396"/>
      <c r="I22" s="395" t="s">
        <v>3542</v>
      </c>
      <c r="J22" s="396"/>
      <c r="K22" s="1900"/>
      <c r="L22" s="2714"/>
      <c r="M22" s="2708"/>
      <c r="N22" s="2708"/>
      <c r="O22" s="2708"/>
      <c r="P22" s="3783"/>
      <c r="Q22" s="1348"/>
      <c r="R22" s="701"/>
      <c r="S22" s="702"/>
      <c r="T22" s="701"/>
      <c r="U22" s="702"/>
      <c r="V22" s="701"/>
      <c r="W22" s="702"/>
      <c r="X22" s="1351"/>
      <c r="Y22" s="3727"/>
      <c r="Z22" s="1352"/>
      <c r="AA22" s="1349">
        <v>1</v>
      </c>
      <c r="AB22" s="1349">
        <v>1</v>
      </c>
      <c r="AC22" s="1349">
        <v>1</v>
      </c>
    </row>
    <row r="23" spans="1:29" ht="51" customHeight="1">
      <c r="A23" s="376"/>
      <c r="B23" s="399" t="s">
        <v>1261</v>
      </c>
      <c r="C23" s="1895" t="str">
        <f>估价对象房地状况!C9</f>
        <v>周边3公里范围内有南海子公园、志远庄公园等自然景观，人文景观较少，综合评价环境状况一般</v>
      </c>
      <c r="D23" s="398">
        <v>100</v>
      </c>
      <c r="E23" s="402"/>
      <c r="F23" s="398">
        <f>SUMIF(84:84,E24,85:85)-SUMIF(84:84,C24,85:85)+100</f>
        <v>100</v>
      </c>
      <c r="G23" s="400"/>
      <c r="H23" s="398">
        <f>SUMIF(84:84,G24,85:85)-SUMIF(84:84,C24,85:85)+100</f>
        <v>100</v>
      </c>
      <c r="I23" s="400"/>
      <c r="J23" s="398">
        <f>SUMIF(84:84,I24,85:85)-SUMIF(84:84,C24,85:85)+100</f>
        <v>100</v>
      </c>
      <c r="K23" s="393">
        <v>2</v>
      </c>
      <c r="L23" s="2714"/>
      <c r="M23" s="2708"/>
      <c r="N23" s="2708"/>
      <c r="O23" s="2708"/>
      <c r="P23" s="3783"/>
      <c r="Q23" s="1348" t="str">
        <f>B23</f>
        <v>自然及人文环境</v>
      </c>
      <c r="R23" s="701" t="s">
        <v>18</v>
      </c>
      <c r="S23" s="702">
        <f>F23</f>
        <v>100</v>
      </c>
      <c r="T23" s="701" t="s">
        <v>18</v>
      </c>
      <c r="U23" s="702">
        <f>H23</f>
        <v>100</v>
      </c>
      <c r="V23" s="701" t="s">
        <v>18</v>
      </c>
      <c r="W23" s="702">
        <f>J23</f>
        <v>100</v>
      </c>
      <c r="X23" s="1351"/>
      <c r="Y23" s="3727"/>
      <c r="Z23" s="1352" t="str">
        <f>Q23</f>
        <v>自然及人文环境</v>
      </c>
      <c r="AA23" s="1349">
        <f>D23/F23</f>
        <v>1</v>
      </c>
      <c r="AB23" s="1349">
        <f>D23/H23</f>
        <v>1</v>
      </c>
      <c r="AC23" s="1349">
        <f>D23/J23</f>
        <v>1</v>
      </c>
    </row>
    <row r="24" spans="1:29" ht="15">
      <c r="A24" s="376"/>
      <c r="B24" s="404"/>
      <c r="C24" s="395" t="s">
        <v>3509</v>
      </c>
      <c r="D24" s="396"/>
      <c r="E24" s="1892" t="s">
        <v>3509</v>
      </c>
      <c r="F24" s="396"/>
      <c r="G24" s="1893" t="s">
        <v>3509</v>
      </c>
      <c r="H24" s="396"/>
      <c r="I24" s="1893" t="s">
        <v>3509</v>
      </c>
      <c r="J24" s="396"/>
      <c r="K24" s="1894"/>
      <c r="L24" s="2714"/>
      <c r="M24" s="2708"/>
      <c r="N24" s="2708"/>
      <c r="O24" s="2708"/>
      <c r="P24" s="3783"/>
      <c r="Q24" s="1348"/>
      <c r="R24" s="701"/>
      <c r="S24" s="702"/>
      <c r="T24" s="701"/>
      <c r="U24" s="702"/>
      <c r="V24" s="701"/>
      <c r="W24" s="702"/>
      <c r="X24" s="1351"/>
      <c r="Y24" s="3727"/>
      <c r="Z24" s="1352"/>
      <c r="AA24" s="1349">
        <v>1</v>
      </c>
      <c r="AB24" s="1349">
        <v>1</v>
      </c>
      <c r="AC24" s="1349">
        <v>1</v>
      </c>
    </row>
    <row r="25" spans="1:29" ht="15" hidden="1">
      <c r="A25" s="376"/>
      <c r="B25" s="372" t="s">
        <v>1692</v>
      </c>
      <c r="C25" s="408"/>
      <c r="D25" s="383">
        <v>100</v>
      </c>
      <c r="E25" s="1901"/>
      <c r="F25" s="383">
        <f>SUMIF(86:86,E25,87:87)-SUMIF(86:86,C25,87:87)+100</f>
        <v>100</v>
      </c>
      <c r="G25" s="1902"/>
      <c r="H25" s="383">
        <f>SUMIF(86:86,G25,87:87)-SUMIF(86:86,C25,87:87)+100</f>
        <v>100</v>
      </c>
      <c r="I25" s="1902"/>
      <c r="J25" s="383">
        <f>SUMIF(86:86,I25,87:87)-SUMIF(86:86,C25,87:87)+100</f>
        <v>100</v>
      </c>
      <c r="K25" s="374"/>
      <c r="L25" s="2714"/>
      <c r="M25" s="2708"/>
      <c r="N25" s="2708"/>
      <c r="O25" s="2708"/>
      <c r="P25" s="3783"/>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27"/>
      <c r="Z25" s="1352" t="str">
        <f>Q25</f>
        <v>楼层-1</v>
      </c>
      <c r="AA25" s="1349">
        <f t="shared" ref="AA25:AA46" si="15">D25/F25</f>
        <v>1</v>
      </c>
      <c r="AB25" s="1349">
        <f t="shared" ref="AB25:AB46" si="16">D25/H25</f>
        <v>1</v>
      </c>
      <c r="AC25" s="1349">
        <f t="shared" ref="AC25:AC46" si="17">D25/J25</f>
        <v>1</v>
      </c>
    </row>
    <row r="26" spans="1:29" ht="15" hidden="1">
      <c r="A26" s="376"/>
      <c r="B26" s="372" t="s">
        <v>1693</v>
      </c>
      <c r="C26" s="408"/>
      <c r="D26" s="383">
        <v>100</v>
      </c>
      <c r="E26" s="1901"/>
      <c r="F26" s="383">
        <f>SUMIF(88:88,E26,89:89)-SUMIF(88:88,C26,89:89)+100</f>
        <v>100</v>
      </c>
      <c r="G26" s="1902"/>
      <c r="H26" s="383">
        <f>SUMIF(88:88,G26,89:89)-SUMIF(88:88,C26,89:89)+100</f>
        <v>100</v>
      </c>
      <c r="I26" s="1902"/>
      <c r="J26" s="383">
        <f>SUMIF(88:88,I26,89:89)-SUMIF(88:88,C26,89:89)+100</f>
        <v>100</v>
      </c>
      <c r="K26" s="374"/>
      <c r="L26" s="2714"/>
      <c r="M26" s="2708"/>
      <c r="N26" s="2708"/>
      <c r="O26" s="2708"/>
      <c r="P26" s="3783"/>
      <c r="Q26" s="1348" t="str">
        <f t="shared" si="11"/>
        <v>朝向</v>
      </c>
      <c r="R26" s="701" t="s">
        <v>18</v>
      </c>
      <c r="S26" s="702">
        <f t="shared" si="12"/>
        <v>100</v>
      </c>
      <c r="T26" s="701" t="s">
        <v>18</v>
      </c>
      <c r="U26" s="702">
        <f t="shared" si="13"/>
        <v>100</v>
      </c>
      <c r="V26" s="701" t="s">
        <v>18</v>
      </c>
      <c r="W26" s="702">
        <f t="shared" si="14"/>
        <v>100</v>
      </c>
      <c r="X26" s="1351"/>
      <c r="Y26" s="3727"/>
      <c r="Z26" s="1352" t="str">
        <f>Q26</f>
        <v>朝向</v>
      </c>
      <c r="AA26" s="1349">
        <f t="shared" si="15"/>
        <v>1</v>
      </c>
      <c r="AB26" s="1349">
        <f t="shared" si="16"/>
        <v>1</v>
      </c>
      <c r="AC26" s="1349">
        <f t="shared" si="17"/>
        <v>1</v>
      </c>
    </row>
    <row r="27" spans="1:29" s="108" customFormat="1" ht="15">
      <c r="A27" s="379"/>
      <c r="B27" s="1129" t="s">
        <v>3563</v>
      </c>
      <c r="C27" s="380" t="s">
        <v>3564</v>
      </c>
      <c r="D27" s="410">
        <v>100</v>
      </c>
      <c r="E27" s="380" t="s">
        <v>3564</v>
      </c>
      <c r="F27" s="410">
        <f>SUMIF(90:90,E27,91:91)-SUMIF(90:90,C27,91:91)+100</f>
        <v>100</v>
      </c>
      <c r="G27" s="380" t="s">
        <v>3564</v>
      </c>
      <c r="H27" s="410">
        <f>SUMIF(90:90,G27,91:91)-SUMIF(90:90,C27,91:91)+100</f>
        <v>100</v>
      </c>
      <c r="I27" s="380" t="s">
        <v>3564</v>
      </c>
      <c r="J27" s="410">
        <f>SUMIF(90:90,I27,91:91)-SUMIF(90:90,C27,91:91)+100</f>
        <v>100</v>
      </c>
      <c r="K27" s="1889"/>
      <c r="L27" s="2709"/>
      <c r="M27" s="2710"/>
      <c r="N27" s="2710"/>
      <c r="O27" s="2710"/>
      <c r="P27" s="3783"/>
      <c r="Q27" s="1339" t="str">
        <f t="shared" si="11"/>
        <v>所在楼层</v>
      </c>
      <c r="R27" s="697" t="s">
        <v>18</v>
      </c>
      <c r="S27" s="698">
        <f t="shared" si="12"/>
        <v>100</v>
      </c>
      <c r="T27" s="697" t="s">
        <v>18</v>
      </c>
      <c r="U27" s="698">
        <f t="shared" si="13"/>
        <v>100</v>
      </c>
      <c r="V27" s="697" t="s">
        <v>18</v>
      </c>
      <c r="W27" s="698">
        <f t="shared" si="14"/>
        <v>100</v>
      </c>
      <c r="X27" s="699"/>
      <c r="Y27" s="3727"/>
      <c r="Z27" s="52" t="str">
        <f>Q27</f>
        <v>所在楼层</v>
      </c>
      <c r="AA27" s="1349">
        <f t="shared" si="15"/>
        <v>1</v>
      </c>
      <c r="AB27" s="1349">
        <f t="shared" si="16"/>
        <v>1</v>
      </c>
      <c r="AC27" s="1349">
        <f t="shared" si="17"/>
        <v>1</v>
      </c>
    </row>
    <row r="28" spans="1:29" ht="15">
      <c r="A28" s="376"/>
      <c r="B28" s="1129" t="s">
        <v>3566</v>
      </c>
      <c r="C28" s="382" t="s">
        <v>3565</v>
      </c>
      <c r="D28" s="383">
        <v>100</v>
      </c>
      <c r="E28" s="382" t="s">
        <v>3565</v>
      </c>
      <c r="F28" s="383">
        <f>SUMIF(92:92,E28,93:93)-SUMIF(92:92,C28,93:93)+100</f>
        <v>100</v>
      </c>
      <c r="G28" s="382" t="s">
        <v>3565</v>
      </c>
      <c r="H28" s="383">
        <f>SUMIF(92:92,G28,93:93)-SUMIF(92:92,C28,93:93)+100</f>
        <v>100</v>
      </c>
      <c r="I28" s="382" t="s">
        <v>3565</v>
      </c>
      <c r="J28" s="383">
        <f>SUMIF(92:92,I28,93:93)-SUMIF(92:92,C28,93:93)+100</f>
        <v>100</v>
      </c>
      <c r="K28" s="1889"/>
      <c r="L28" s="2714"/>
      <c r="M28" s="2708"/>
      <c r="N28" s="2708"/>
      <c r="O28" s="2708"/>
      <c r="P28" s="3783"/>
      <c r="Q28" s="1348" t="str">
        <f t="shared" si="11"/>
        <v>朝向</v>
      </c>
      <c r="R28" s="701" t="s">
        <v>18</v>
      </c>
      <c r="S28" s="702">
        <f t="shared" si="12"/>
        <v>100</v>
      </c>
      <c r="T28" s="701" t="s">
        <v>18</v>
      </c>
      <c r="U28" s="702">
        <f t="shared" si="13"/>
        <v>100</v>
      </c>
      <c r="V28" s="701" t="s">
        <v>18</v>
      </c>
      <c r="W28" s="702">
        <f t="shared" si="14"/>
        <v>100</v>
      </c>
      <c r="X28" s="1351"/>
      <c r="Y28" s="3727"/>
      <c r="Z28" s="1352" t="str">
        <f t="shared" ref="Z28:Z46" si="18">Q28</f>
        <v>朝向</v>
      </c>
      <c r="AA28" s="1349">
        <f t="shared" si="15"/>
        <v>1</v>
      </c>
      <c r="AB28" s="1349">
        <f t="shared" si="16"/>
        <v>1</v>
      </c>
      <c r="AC28" s="1349">
        <f t="shared" si="17"/>
        <v>1</v>
      </c>
    </row>
    <row r="29" spans="1:29" ht="15.75" thickBot="1">
      <c r="A29" s="376"/>
      <c r="B29" s="1129" t="s">
        <v>3567</v>
      </c>
      <c r="C29" s="382" t="s">
        <v>3568</v>
      </c>
      <c r="D29" s="383">
        <v>100</v>
      </c>
      <c r="E29" s="382" t="s">
        <v>3568</v>
      </c>
      <c r="F29" s="383">
        <f>SUMIF(94:94,E29,95:95)-SUMIF(94:94,C29,95:95)+100</f>
        <v>100</v>
      </c>
      <c r="G29" s="382" t="s">
        <v>3568</v>
      </c>
      <c r="H29" s="383">
        <f>SUMIF(94:94,G29,95:95)-SUMIF(94:94,C29,95:95)+100</f>
        <v>100</v>
      </c>
      <c r="I29" s="382" t="s">
        <v>3568</v>
      </c>
      <c r="J29" s="383">
        <f>SUMIF(94:94,I29,95:95)-SUMIF(94:94,C29,95:95)+100</f>
        <v>100</v>
      </c>
      <c r="K29" s="1889"/>
      <c r="L29" s="2714"/>
      <c r="M29" s="2708"/>
      <c r="N29" s="2708"/>
      <c r="O29" s="2708"/>
      <c r="P29" s="3783"/>
      <c r="Q29" s="1348" t="str">
        <f t="shared" si="11"/>
        <v>临街状况</v>
      </c>
      <c r="R29" s="701" t="s">
        <v>18</v>
      </c>
      <c r="S29" s="702">
        <f t="shared" si="12"/>
        <v>100</v>
      </c>
      <c r="T29" s="701" t="s">
        <v>18</v>
      </c>
      <c r="U29" s="702">
        <f t="shared" si="13"/>
        <v>100</v>
      </c>
      <c r="V29" s="701" t="s">
        <v>18</v>
      </c>
      <c r="W29" s="702">
        <f t="shared" si="14"/>
        <v>100</v>
      </c>
      <c r="X29" s="1351"/>
      <c r="Y29" s="3727"/>
      <c r="Z29" s="1352" t="str">
        <f t="shared" si="18"/>
        <v>临街状况</v>
      </c>
      <c r="AA29" s="1349">
        <f t="shared" si="15"/>
        <v>1</v>
      </c>
      <c r="AB29" s="1349">
        <f t="shared" si="16"/>
        <v>1</v>
      </c>
      <c r="AC29" s="1349">
        <f t="shared" si="17"/>
        <v>1</v>
      </c>
    </row>
    <row r="30" spans="1:29" ht="15" hidden="1">
      <c r="A30" s="376"/>
      <c r="B30" s="1129">
        <v>111</v>
      </c>
      <c r="C30" s="382"/>
      <c r="D30" s="383">
        <v>100</v>
      </c>
      <c r="E30" s="382"/>
      <c r="F30" s="383">
        <f>SUMIF(96:96,E30,97:97)-SUMIF(96:96,C30,97:97)+100</f>
        <v>100</v>
      </c>
      <c r="G30" s="1903"/>
      <c r="H30" s="383">
        <f>SUMIF(96:96,G30,97:97)-SUMIF(96:96,C30,97:97)+100</f>
        <v>100</v>
      </c>
      <c r="I30" s="382"/>
      <c r="J30" s="383">
        <f>SUMIF(96:96,I30,97:97)-SUMIF(96:96,C30,97:97)+100</f>
        <v>100</v>
      </c>
      <c r="K30" s="1889"/>
      <c r="L30" s="2714"/>
      <c r="M30" s="2708"/>
      <c r="N30" s="2708"/>
      <c r="O30" s="2708"/>
      <c r="P30" s="3783"/>
      <c r="Q30" s="1348">
        <f t="shared" si="11"/>
        <v>111</v>
      </c>
      <c r="R30" s="701" t="s">
        <v>18</v>
      </c>
      <c r="S30" s="702">
        <f t="shared" si="12"/>
        <v>100</v>
      </c>
      <c r="T30" s="701" t="s">
        <v>18</v>
      </c>
      <c r="U30" s="702">
        <f t="shared" si="13"/>
        <v>100</v>
      </c>
      <c r="V30" s="701" t="s">
        <v>18</v>
      </c>
      <c r="W30" s="702">
        <f t="shared" si="14"/>
        <v>100</v>
      </c>
      <c r="X30" s="1351"/>
      <c r="Y30" s="3727"/>
      <c r="Z30" s="1352">
        <f t="shared" si="18"/>
        <v>111</v>
      </c>
      <c r="AA30" s="1349">
        <f t="shared" si="15"/>
        <v>1</v>
      </c>
      <c r="AB30" s="1349">
        <f t="shared" si="16"/>
        <v>1</v>
      </c>
      <c r="AC30" s="1349">
        <f t="shared" si="17"/>
        <v>1</v>
      </c>
    </row>
    <row r="31" spans="1:29" ht="15.75" hidden="1" thickBot="1">
      <c r="A31" s="384"/>
      <c r="B31" s="1129">
        <v>111</v>
      </c>
      <c r="C31" s="385"/>
      <c r="D31" s="386">
        <v>100</v>
      </c>
      <c r="E31" s="385"/>
      <c r="F31" s="386">
        <f>SUMIF(98:98,E31,99:99)-SUMIF(98:98,C31,99:99)+100</f>
        <v>100</v>
      </c>
      <c r="G31" s="1904"/>
      <c r="H31" s="386">
        <f>SUMIF(98:98,G31,99:99)-SUMIF(98:98,C31,99:99)+100</f>
        <v>100</v>
      </c>
      <c r="I31" s="385"/>
      <c r="J31" s="386">
        <f>SUMIF(98:98,I31,99:99)-SUMIF(98:98,C31,99:99)+100</f>
        <v>100</v>
      </c>
      <c r="K31" s="1889"/>
      <c r="L31" s="2714"/>
      <c r="M31" s="2708"/>
      <c r="N31" s="2708"/>
      <c r="O31" s="2708"/>
      <c r="P31" s="3783"/>
      <c r="Q31" s="1348">
        <f t="shared" si="11"/>
        <v>111</v>
      </c>
      <c r="R31" s="701" t="s">
        <v>18</v>
      </c>
      <c r="S31" s="702">
        <f t="shared" si="12"/>
        <v>100</v>
      </c>
      <c r="T31" s="701" t="s">
        <v>18</v>
      </c>
      <c r="U31" s="702">
        <f t="shared" si="13"/>
        <v>100</v>
      </c>
      <c r="V31" s="701" t="s">
        <v>18</v>
      </c>
      <c r="W31" s="702">
        <f t="shared" si="14"/>
        <v>100</v>
      </c>
      <c r="X31" s="1351"/>
      <c r="Y31" s="3727"/>
      <c r="Z31" s="1352">
        <f t="shared" si="18"/>
        <v>111</v>
      </c>
      <c r="AA31" s="1349">
        <f t="shared" si="15"/>
        <v>1</v>
      </c>
      <c r="AB31" s="1349">
        <f t="shared" si="16"/>
        <v>1</v>
      </c>
      <c r="AC31" s="1349">
        <f t="shared" si="17"/>
        <v>1</v>
      </c>
    </row>
    <row r="32" spans="1:29" ht="15">
      <c r="A32" s="388" t="s">
        <v>1694</v>
      </c>
      <c r="B32" s="63" t="s">
        <v>1695</v>
      </c>
      <c r="C32" s="1905" t="s">
        <v>3585</v>
      </c>
      <c r="D32" s="415">
        <v>100</v>
      </c>
      <c r="E32" s="1905" t="s">
        <v>3585</v>
      </c>
      <c r="F32" s="409">
        <f>SUMIF(100:100,E32,101:101)-SUMIF(100:100,C32,101:101)+100</f>
        <v>100</v>
      </c>
      <c r="G32" s="1905" t="s">
        <v>3585</v>
      </c>
      <c r="H32" s="415">
        <f>SUMIF(100:100,G32,101:101)-SUMIF(100:100,C32,101:101)+100</f>
        <v>100</v>
      </c>
      <c r="I32" s="1905" t="s">
        <v>3585</v>
      </c>
      <c r="J32" s="383">
        <f>SUMIF(100:100,I32,101:101)-SUMIF(100:100,C32,101:101)+100</f>
        <v>100</v>
      </c>
      <c r="K32" s="374">
        <v>2</v>
      </c>
      <c r="L32" s="2714"/>
      <c r="M32" s="2708"/>
      <c r="N32" s="2708"/>
      <c r="O32" s="2708"/>
      <c r="P32" s="3778" t="s">
        <v>1696</v>
      </c>
      <c r="Q32" s="1348" t="str">
        <f t="shared" si="11"/>
        <v>建筑类型</v>
      </c>
      <c r="R32" s="701" t="s">
        <v>18</v>
      </c>
      <c r="S32" s="702">
        <f t="shared" si="12"/>
        <v>100</v>
      </c>
      <c r="T32" s="701" t="s">
        <v>18</v>
      </c>
      <c r="U32" s="702">
        <f t="shared" si="13"/>
        <v>100</v>
      </c>
      <c r="V32" s="701" t="s">
        <v>18</v>
      </c>
      <c r="W32" s="702">
        <f t="shared" si="14"/>
        <v>100</v>
      </c>
      <c r="X32" s="1351"/>
      <c r="Y32" s="3729" t="s">
        <v>1696</v>
      </c>
      <c r="Z32" s="1352" t="str">
        <f t="shared" si="18"/>
        <v>建筑类型</v>
      </c>
      <c r="AA32" s="1349">
        <f t="shared" si="15"/>
        <v>1</v>
      </c>
      <c r="AB32" s="1349">
        <f t="shared" si="16"/>
        <v>1</v>
      </c>
      <c r="AC32" s="1349">
        <f t="shared" si="17"/>
        <v>1</v>
      </c>
    </row>
    <row r="33" spans="1:29" s="419" customFormat="1" ht="15" hidden="1">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9"/>
      <c r="L33" s="2713"/>
      <c r="M33" s="2715"/>
      <c r="N33" s="2715"/>
      <c r="O33" s="2715"/>
      <c r="P33" s="3779"/>
      <c r="Q33" s="703" t="str">
        <f t="shared" si="11"/>
        <v>项目建筑规模</v>
      </c>
      <c r="R33" s="704" t="s">
        <v>18</v>
      </c>
      <c r="S33" s="705">
        <f t="shared" si="12"/>
        <v>100</v>
      </c>
      <c r="T33" s="704" t="s">
        <v>18</v>
      </c>
      <c r="U33" s="705">
        <f t="shared" si="13"/>
        <v>100</v>
      </c>
      <c r="V33" s="704" t="s">
        <v>18</v>
      </c>
      <c r="W33" s="705">
        <f t="shared" si="14"/>
        <v>100</v>
      </c>
      <c r="X33" s="706"/>
      <c r="Y33" s="3729"/>
      <c r="Z33" s="707" t="str">
        <f t="shared" si="18"/>
        <v>项目建筑规模</v>
      </c>
      <c r="AA33" s="1349">
        <f t="shared" si="15"/>
        <v>1</v>
      </c>
      <c r="AB33" s="1349">
        <f t="shared" si="16"/>
        <v>1</v>
      </c>
      <c r="AC33" s="1349">
        <f t="shared" si="17"/>
        <v>1</v>
      </c>
    </row>
    <row r="34" spans="1:29" ht="15">
      <c r="A34" s="420"/>
      <c r="B34" s="372" t="s">
        <v>1698</v>
      </c>
      <c r="C34" s="1906" t="s">
        <v>3586</v>
      </c>
      <c r="D34" s="383">
        <v>100</v>
      </c>
      <c r="E34" s="1906" t="s">
        <v>3586</v>
      </c>
      <c r="F34" s="409">
        <f>SUMIF(105:105,E34,106:106)-SUMIF(105:105,C34,106:106)+100</f>
        <v>100</v>
      </c>
      <c r="G34" s="1906" t="s">
        <v>3586</v>
      </c>
      <c r="H34" s="383">
        <f>SUMIF(105:105,G34,106:106)-SUMIF(105:105,C34,106:106)+100</f>
        <v>100</v>
      </c>
      <c r="I34" s="1906" t="s">
        <v>3586</v>
      </c>
      <c r="J34" s="383">
        <f>SUMIF(105:105,I34,106:106)-SUMIF(105:105,C34,106:106)+100</f>
        <v>100</v>
      </c>
      <c r="K34" s="374">
        <v>2</v>
      </c>
      <c r="L34" s="2714"/>
      <c r="M34" s="2708"/>
      <c r="N34" s="2708"/>
      <c r="O34" s="2708"/>
      <c r="P34" s="3779"/>
      <c r="Q34" s="1348" t="str">
        <f t="shared" si="11"/>
        <v>建筑结构</v>
      </c>
      <c r="R34" s="701" t="s">
        <v>18</v>
      </c>
      <c r="S34" s="702">
        <f t="shared" si="12"/>
        <v>100</v>
      </c>
      <c r="T34" s="701" t="s">
        <v>18</v>
      </c>
      <c r="U34" s="702">
        <f t="shared" si="13"/>
        <v>100</v>
      </c>
      <c r="V34" s="701" t="s">
        <v>18</v>
      </c>
      <c r="W34" s="702">
        <f t="shared" si="14"/>
        <v>100</v>
      </c>
      <c r="X34" s="1351"/>
      <c r="Y34" s="3729"/>
      <c r="Z34" s="1352" t="str">
        <f t="shared" si="18"/>
        <v>建筑结构</v>
      </c>
      <c r="AA34" s="1349">
        <f t="shared" si="15"/>
        <v>1</v>
      </c>
      <c r="AB34" s="1349">
        <f t="shared" si="16"/>
        <v>1</v>
      </c>
      <c r="AC34" s="1349">
        <f t="shared" si="17"/>
        <v>1</v>
      </c>
    </row>
    <row r="35" spans="1:29" ht="15" hidden="1">
      <c r="A35" s="420"/>
      <c r="B35" s="372" t="s">
        <v>1699</v>
      </c>
      <c r="C35" s="1901"/>
      <c r="D35" s="383">
        <v>100</v>
      </c>
      <c r="E35" s="1902"/>
      <c r="F35" s="409">
        <f>SUMIF(107:107,E35,108:108)-SUMIF(107:107,C35,108:108)+100</f>
        <v>100</v>
      </c>
      <c r="G35" s="1901"/>
      <c r="H35" s="383">
        <f>SUMIF(107:107,G35,108:108)-SUMIF(107:107,C35,108:108)+100</f>
        <v>100</v>
      </c>
      <c r="I35" s="1902"/>
      <c r="J35" s="383">
        <f>SUMIF(107:107,I35,108:108)-SUMIF(107:107,C35,108:108)+100</f>
        <v>100</v>
      </c>
      <c r="K35" s="374"/>
      <c r="L35" s="2714"/>
      <c r="M35" s="2708"/>
      <c r="N35" s="2708"/>
      <c r="O35" s="2708"/>
      <c r="P35" s="3779"/>
      <c r="Q35" s="1348" t="str">
        <f t="shared" si="11"/>
        <v>建筑品质</v>
      </c>
      <c r="R35" s="701" t="s">
        <v>18</v>
      </c>
      <c r="S35" s="702">
        <f t="shared" si="12"/>
        <v>100</v>
      </c>
      <c r="T35" s="701" t="s">
        <v>18</v>
      </c>
      <c r="U35" s="702">
        <f t="shared" si="13"/>
        <v>100</v>
      </c>
      <c r="V35" s="701" t="s">
        <v>18</v>
      </c>
      <c r="W35" s="702">
        <f t="shared" si="14"/>
        <v>100</v>
      </c>
      <c r="X35" s="1351"/>
      <c r="Y35" s="3729"/>
      <c r="Z35" s="1352" t="str">
        <f t="shared" si="18"/>
        <v>建筑品质</v>
      </c>
      <c r="AA35" s="1349">
        <f t="shared" si="15"/>
        <v>1</v>
      </c>
      <c r="AB35" s="1349">
        <f t="shared" si="16"/>
        <v>1</v>
      </c>
      <c r="AC35" s="1349">
        <f t="shared" si="17"/>
        <v>1</v>
      </c>
    </row>
    <row r="36" spans="1:29" ht="15" hidden="1">
      <c r="A36" s="420"/>
      <c r="B36" s="372" t="s">
        <v>1700</v>
      </c>
      <c r="C36" s="1901"/>
      <c r="D36" s="383">
        <v>100</v>
      </c>
      <c r="E36" s="1902"/>
      <c r="F36" s="409">
        <f>SUMIF(109:109,E36,110:110)-SUMIF(109:109,C36,110:110)+100</f>
        <v>100</v>
      </c>
      <c r="G36" s="1901"/>
      <c r="H36" s="383">
        <f>SUMIF(109:109,G36,110:110)-SUMIF(109:109,C36,110:110)+100</f>
        <v>100</v>
      </c>
      <c r="I36" s="1902"/>
      <c r="J36" s="383">
        <f>SUMIF(109:109,I36,110:110)-SUMIF(109:109,C36,110:110)+100</f>
        <v>100</v>
      </c>
      <c r="K36" s="374"/>
      <c r="L36" s="2714"/>
      <c r="M36" s="2708"/>
      <c r="N36" s="2708"/>
      <c r="O36" s="2708"/>
      <c r="P36" s="3779"/>
      <c r="Q36" s="1348" t="str">
        <f t="shared" si="11"/>
        <v>公共部分装修</v>
      </c>
      <c r="R36" s="701" t="s">
        <v>18</v>
      </c>
      <c r="S36" s="702">
        <f t="shared" si="12"/>
        <v>100</v>
      </c>
      <c r="T36" s="701" t="s">
        <v>18</v>
      </c>
      <c r="U36" s="702">
        <f t="shared" si="13"/>
        <v>100</v>
      </c>
      <c r="V36" s="701" t="s">
        <v>18</v>
      </c>
      <c r="W36" s="702">
        <f t="shared" si="14"/>
        <v>100</v>
      </c>
      <c r="X36" s="1351"/>
      <c r="Y36" s="3729"/>
      <c r="Z36" s="1352" t="str">
        <f t="shared" si="18"/>
        <v>公共部分装修</v>
      </c>
      <c r="AA36" s="1349">
        <f t="shared" si="15"/>
        <v>1</v>
      </c>
      <c r="AB36" s="1349">
        <f t="shared" si="16"/>
        <v>1</v>
      </c>
      <c r="AC36" s="1349">
        <f t="shared" si="17"/>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9"/>
      <c r="M37" s="2710"/>
      <c r="N37" s="2710"/>
      <c r="O37" s="2710"/>
      <c r="P37" s="3779"/>
      <c r="Q37" s="1339" t="str">
        <f t="shared" si="11"/>
        <v>成新度</v>
      </c>
      <c r="R37" s="697" t="s">
        <v>18</v>
      </c>
      <c r="S37" s="698">
        <f t="shared" si="12"/>
        <v>100</v>
      </c>
      <c r="T37" s="697" t="s">
        <v>18</v>
      </c>
      <c r="U37" s="698">
        <f t="shared" si="13"/>
        <v>100</v>
      </c>
      <c r="V37" s="697" t="s">
        <v>18</v>
      </c>
      <c r="W37" s="698">
        <f t="shared" si="14"/>
        <v>100</v>
      </c>
      <c r="X37" s="699"/>
      <c r="Y37" s="3729"/>
      <c r="Z37" s="52" t="str">
        <f t="shared" si="18"/>
        <v>成新度</v>
      </c>
      <c r="AA37" s="700">
        <f t="shared" si="15"/>
        <v>1</v>
      </c>
      <c r="AB37" s="700">
        <f t="shared" si="16"/>
        <v>1</v>
      </c>
      <c r="AC37" s="700">
        <f t="shared" si="17"/>
        <v>1</v>
      </c>
    </row>
    <row r="38" spans="1:29" ht="15">
      <c r="A38" s="420"/>
      <c r="B38" s="372" t="s">
        <v>1702</v>
      </c>
      <c r="C38" s="1901" t="s">
        <v>3587</v>
      </c>
      <c r="D38" s="383">
        <v>100</v>
      </c>
      <c r="E38" s="1901" t="s">
        <v>3587</v>
      </c>
      <c r="F38" s="409">
        <f>SUMIF(114:114,E38,115:115)-SUMIF(114:114,C38,115:115)+100</f>
        <v>100</v>
      </c>
      <c r="G38" s="1901" t="s">
        <v>3587</v>
      </c>
      <c r="H38" s="383">
        <f>SUMIF(114:114,G38,115:115)-SUMIF(114:114,C38,115:115)+100</f>
        <v>100</v>
      </c>
      <c r="I38" s="1901" t="s">
        <v>3587</v>
      </c>
      <c r="J38" s="383">
        <f>SUMIF(114:114,I38,115:115)-SUMIF(114:114,C38,115:115)+100</f>
        <v>100</v>
      </c>
      <c r="K38" s="374">
        <v>2</v>
      </c>
      <c r="L38" s="2714"/>
      <c r="M38" s="2708"/>
      <c r="N38" s="2708"/>
      <c r="O38" s="2708"/>
      <c r="P38" s="3779" t="s">
        <v>1696</v>
      </c>
      <c r="Q38" s="1348" t="str">
        <f t="shared" si="11"/>
        <v>物业管理</v>
      </c>
      <c r="R38" s="701" t="s">
        <v>18</v>
      </c>
      <c r="S38" s="702">
        <f t="shared" si="12"/>
        <v>100</v>
      </c>
      <c r="T38" s="701" t="s">
        <v>18</v>
      </c>
      <c r="U38" s="702">
        <f t="shared" si="13"/>
        <v>100</v>
      </c>
      <c r="V38" s="701" t="s">
        <v>18</v>
      </c>
      <c r="W38" s="702">
        <f t="shared" si="14"/>
        <v>100</v>
      </c>
      <c r="X38" s="1351"/>
      <c r="Y38" s="3729" t="s">
        <v>1696</v>
      </c>
      <c r="Z38" s="1352" t="str">
        <f t="shared" si="18"/>
        <v>物业管理</v>
      </c>
      <c r="AA38" s="1349">
        <f t="shared" si="15"/>
        <v>1</v>
      </c>
      <c r="AB38" s="1349">
        <f t="shared" si="16"/>
        <v>1</v>
      </c>
      <c r="AC38" s="1349">
        <f t="shared" si="17"/>
        <v>1</v>
      </c>
    </row>
    <row r="39" spans="1:29" ht="15" hidden="1">
      <c r="A39" s="420"/>
      <c r="B39" s="372" t="s">
        <v>1703</v>
      </c>
      <c r="C39" s="1901"/>
      <c r="D39" s="383">
        <v>100</v>
      </c>
      <c r="E39" s="1902"/>
      <c r="F39" s="409">
        <f>SUMIF(116:116,E39,117:117)-SUMIF(116:116,C39,117:117)+100</f>
        <v>100</v>
      </c>
      <c r="G39" s="1901"/>
      <c r="H39" s="383">
        <f>SUMIF(116:116,G39,117:117)-SUMIF(116:116,C39,117:117)+100</f>
        <v>100</v>
      </c>
      <c r="I39" s="1902"/>
      <c r="J39" s="383">
        <f>SUMIF(116:116,I39,117:117)-SUMIF(116:116,C39,117:117)+100</f>
        <v>100</v>
      </c>
      <c r="K39" s="374"/>
      <c r="L39" s="2714"/>
      <c r="M39" s="2708"/>
      <c r="N39" s="2708"/>
      <c r="O39" s="2708"/>
      <c r="P39" s="3779"/>
      <c r="Q39" s="1348" t="str">
        <f t="shared" si="11"/>
        <v>市政基础设施</v>
      </c>
      <c r="R39" s="701" t="s">
        <v>18</v>
      </c>
      <c r="S39" s="702">
        <f t="shared" si="12"/>
        <v>100</v>
      </c>
      <c r="T39" s="701" t="s">
        <v>18</v>
      </c>
      <c r="U39" s="702">
        <f t="shared" si="13"/>
        <v>100</v>
      </c>
      <c r="V39" s="701" t="s">
        <v>18</v>
      </c>
      <c r="W39" s="702">
        <f t="shared" si="14"/>
        <v>100</v>
      </c>
      <c r="X39" s="1351"/>
      <c r="Y39" s="3729"/>
      <c r="Z39" s="1352" t="str">
        <f t="shared" si="18"/>
        <v>市政基础设施</v>
      </c>
      <c r="AA39" s="1349">
        <f t="shared" si="15"/>
        <v>1</v>
      </c>
      <c r="AB39" s="1349">
        <f t="shared" si="16"/>
        <v>1</v>
      </c>
      <c r="AC39" s="1349">
        <f t="shared" si="17"/>
        <v>1</v>
      </c>
    </row>
    <row r="40" spans="1:29" ht="15">
      <c r="A40" s="420"/>
      <c r="B40" s="372" t="s">
        <v>1704</v>
      </c>
      <c r="C40" s="1901" t="s">
        <v>3588</v>
      </c>
      <c r="D40" s="383">
        <v>100</v>
      </c>
      <c r="E40" s="1901" t="s">
        <v>3588</v>
      </c>
      <c r="F40" s="409">
        <f>SUMIF(118:118,E40,119:119)-SUMIF(118:118,C40,119:119)+100</f>
        <v>100</v>
      </c>
      <c r="G40" s="1901" t="s">
        <v>3588</v>
      </c>
      <c r="H40" s="383">
        <f>SUMIF(118:118,G40,119:119)-SUMIF(118:118,C40,119:119)+100</f>
        <v>100</v>
      </c>
      <c r="I40" s="1901" t="s">
        <v>3588</v>
      </c>
      <c r="J40" s="383">
        <f>SUMIF(118:118,I40,119:119)-SUMIF(118:118,C40,119:119)+100</f>
        <v>100</v>
      </c>
      <c r="K40" s="374"/>
      <c r="L40" s="2714"/>
      <c r="M40" s="2708"/>
      <c r="N40" s="2708"/>
      <c r="O40" s="2708"/>
      <c r="P40" s="3779"/>
      <c r="Q40" s="1348" t="str">
        <f t="shared" si="11"/>
        <v>房型</v>
      </c>
      <c r="R40" s="701" t="s">
        <v>18</v>
      </c>
      <c r="S40" s="702">
        <f t="shared" si="12"/>
        <v>100</v>
      </c>
      <c r="T40" s="701" t="s">
        <v>18</v>
      </c>
      <c r="U40" s="702">
        <f t="shared" si="13"/>
        <v>100</v>
      </c>
      <c r="V40" s="701" t="s">
        <v>18</v>
      </c>
      <c r="W40" s="702">
        <f t="shared" si="14"/>
        <v>100</v>
      </c>
      <c r="X40" s="1351"/>
      <c r="Y40" s="3729"/>
      <c r="Z40" s="1352" t="str">
        <f t="shared" si="18"/>
        <v>房型</v>
      </c>
      <c r="AA40" s="1349">
        <f t="shared" si="15"/>
        <v>1</v>
      </c>
      <c r="AB40" s="1349">
        <f t="shared" si="16"/>
        <v>1</v>
      </c>
      <c r="AC40" s="1349">
        <f t="shared" si="17"/>
        <v>1</v>
      </c>
    </row>
    <row r="41" spans="1:29" s="419" customFormat="1" ht="85.5">
      <c r="A41" s="416"/>
      <c r="B41" s="372" t="s">
        <v>1705</v>
      </c>
      <c r="C41" s="417" t="s">
        <v>3590</v>
      </c>
      <c r="D41" s="125">
        <v>100</v>
      </c>
      <c r="E41" s="378" t="s">
        <v>3591</v>
      </c>
      <c r="F41" s="373">
        <f>SUMIF(120:120,E41,121:121)-SUMIF(120:120,C41,121:121)+100</f>
        <v>99</v>
      </c>
      <c r="G41" s="377" t="s">
        <v>3591</v>
      </c>
      <c r="H41" s="125">
        <f>SUMIF(120:120,G41,121:121)-SUMIF(120:120,C41,121:121)+100</f>
        <v>99</v>
      </c>
      <c r="I41" s="425" t="s">
        <v>3591</v>
      </c>
      <c r="J41" s="383">
        <f>SUMIF(120:120,I41,121:121)-SUMIF(120:120,C41,121:121)+100</f>
        <v>99</v>
      </c>
      <c r="K41" s="1889"/>
      <c r="L41" s="2713"/>
      <c r="M41" s="2715"/>
      <c r="N41" s="2715"/>
      <c r="O41" s="2715"/>
      <c r="P41" s="3779"/>
      <c r="Q41" s="703" t="str">
        <f t="shared" si="11"/>
        <v>单套/主力户型建筑面积</v>
      </c>
      <c r="R41" s="704" t="s">
        <v>18</v>
      </c>
      <c r="S41" s="705">
        <f t="shared" si="12"/>
        <v>99</v>
      </c>
      <c r="T41" s="704" t="s">
        <v>18</v>
      </c>
      <c r="U41" s="705">
        <f t="shared" si="13"/>
        <v>99</v>
      </c>
      <c r="V41" s="704" t="s">
        <v>18</v>
      </c>
      <c r="W41" s="705">
        <f t="shared" si="14"/>
        <v>99</v>
      </c>
      <c r="X41" s="706"/>
      <c r="Y41" s="3729"/>
      <c r="Z41" s="707" t="str">
        <f t="shared" si="18"/>
        <v>单套/主力户型建筑面积</v>
      </c>
      <c r="AA41" s="1349">
        <f t="shared" si="15"/>
        <v>1.0101010101010102</v>
      </c>
      <c r="AB41" s="1349">
        <f t="shared" si="16"/>
        <v>1.0101010101010102</v>
      </c>
      <c r="AC41" s="1349">
        <f t="shared" si="17"/>
        <v>1.0101010101010102</v>
      </c>
    </row>
    <row r="42" spans="1:29" ht="15">
      <c r="A42" s="420"/>
      <c r="B42" s="372" t="s">
        <v>1706</v>
      </c>
      <c r="C42" s="1901" t="s">
        <v>3589</v>
      </c>
      <c r="D42" s="383">
        <v>100</v>
      </c>
      <c r="E42" s="1901" t="s">
        <v>3589</v>
      </c>
      <c r="F42" s="409">
        <f>SUMIF(122:122,E42,123:123)-SUMIF(122:122,C42,123:123)+100</f>
        <v>100</v>
      </c>
      <c r="G42" s="1901" t="s">
        <v>3589</v>
      </c>
      <c r="H42" s="383">
        <f>SUMIF(122:122,G42,123:123)-SUMIF(122:122,C42,123:123)+100</f>
        <v>100</v>
      </c>
      <c r="I42" s="1901" t="s">
        <v>3589</v>
      </c>
      <c r="J42" s="383">
        <f>SUMIF(122:122,I42,123:123)-SUMIF(122:122,C42,123:123)+100</f>
        <v>100</v>
      </c>
      <c r="K42" s="374"/>
      <c r="L42" s="2714"/>
      <c r="M42" s="2708"/>
      <c r="N42" s="2708"/>
      <c r="O42" s="2708"/>
      <c r="P42" s="3779"/>
      <c r="Q42" s="1348" t="str">
        <f t="shared" si="11"/>
        <v>内部装修</v>
      </c>
      <c r="R42" s="701" t="s">
        <v>18</v>
      </c>
      <c r="S42" s="702">
        <f t="shared" si="12"/>
        <v>100</v>
      </c>
      <c r="T42" s="701" t="s">
        <v>18</v>
      </c>
      <c r="U42" s="702">
        <f t="shared" si="13"/>
        <v>100</v>
      </c>
      <c r="V42" s="701" t="s">
        <v>18</v>
      </c>
      <c r="W42" s="702">
        <f t="shared" si="14"/>
        <v>100</v>
      </c>
      <c r="X42" s="1351"/>
      <c r="Y42" s="3729"/>
      <c r="Z42" s="1352" t="str">
        <f t="shared" si="18"/>
        <v>内部装修</v>
      </c>
      <c r="AA42" s="1349">
        <f t="shared" si="15"/>
        <v>1</v>
      </c>
      <c r="AB42" s="1349">
        <f t="shared" si="16"/>
        <v>1</v>
      </c>
      <c r="AC42" s="1349">
        <f t="shared" si="17"/>
        <v>1</v>
      </c>
    </row>
    <row r="43" spans="1:29" ht="15" hidden="1">
      <c r="A43" s="420"/>
      <c r="B43" s="372" t="s">
        <v>1707</v>
      </c>
      <c r="C43" s="1901"/>
      <c r="D43" s="383">
        <v>100</v>
      </c>
      <c r="E43" s="1902"/>
      <c r="F43" s="409">
        <f>SUMIF(124:124,E43,125:125)-SUMIF(124:124,C43,125:125)+100</f>
        <v>100</v>
      </c>
      <c r="G43" s="1901"/>
      <c r="H43" s="383">
        <f>SUMIF(124:124,G43,125:125)-SUMIF(124:124,C43,125:125)+100</f>
        <v>100</v>
      </c>
      <c r="I43" s="1902"/>
      <c r="J43" s="383">
        <f>SUMIF(124:124,I43,125:125)-SUMIF(124:124,C43,125:125)+100</f>
        <v>100</v>
      </c>
      <c r="K43" s="374"/>
      <c r="L43" s="2714"/>
      <c r="M43" s="2708"/>
      <c r="N43" s="2708"/>
      <c r="O43" s="2708"/>
      <c r="P43" s="3779"/>
      <c r="Q43" s="1348" t="str">
        <f t="shared" si="11"/>
        <v>内部装修维护情况</v>
      </c>
      <c r="R43" s="701" t="s">
        <v>18</v>
      </c>
      <c r="S43" s="702">
        <f t="shared" si="12"/>
        <v>100</v>
      </c>
      <c r="T43" s="701" t="s">
        <v>18</v>
      </c>
      <c r="U43" s="702">
        <f t="shared" si="13"/>
        <v>100</v>
      </c>
      <c r="V43" s="701" t="s">
        <v>18</v>
      </c>
      <c r="W43" s="702">
        <f t="shared" si="14"/>
        <v>100</v>
      </c>
      <c r="X43" s="1351"/>
      <c r="Y43" s="3729"/>
      <c r="Z43" s="1352" t="str">
        <f t="shared" si="18"/>
        <v>内部装修维护情况</v>
      </c>
      <c r="AA43" s="1349">
        <f t="shared" si="15"/>
        <v>1</v>
      </c>
      <c r="AB43" s="1349">
        <f t="shared" si="16"/>
        <v>1</v>
      </c>
      <c r="AC43" s="1349">
        <f t="shared" si="17"/>
        <v>1</v>
      </c>
    </row>
    <row r="44" spans="1:29" s="108" customFormat="1" ht="15">
      <c r="A44" s="421"/>
      <c r="B44" s="1129" t="s">
        <v>3592</v>
      </c>
      <c r="C44" s="417" t="s">
        <v>3593</v>
      </c>
      <c r="D44" s="125">
        <v>100</v>
      </c>
      <c r="E44" s="417" t="s">
        <v>3593</v>
      </c>
      <c r="F44" s="373">
        <f>SUMIF(126:126,E44,127:127)-SUMIF(126:126,C44,127:127)+100</f>
        <v>100</v>
      </c>
      <c r="G44" s="417" t="s">
        <v>3593</v>
      </c>
      <c r="H44" s="125">
        <f>SUMIF(126:126,G44,127:127)-SUMIF(126:126,C44,127:127)+100</f>
        <v>100</v>
      </c>
      <c r="I44" s="417" t="s">
        <v>3593</v>
      </c>
      <c r="J44" s="125">
        <f>SUMIF(126:126,I44,127:127)-SUMIF(126:126,C44,127:127)+100</f>
        <v>100</v>
      </c>
      <c r="K44" s="1889"/>
      <c r="L44" s="2709"/>
      <c r="M44" s="2710"/>
      <c r="N44" s="2710"/>
      <c r="O44" s="2710"/>
      <c r="P44" s="3779"/>
      <c r="Q44" s="1339" t="str">
        <f t="shared" si="11"/>
        <v>设施设备情况</v>
      </c>
      <c r="R44" s="697" t="s">
        <v>18</v>
      </c>
      <c r="S44" s="698">
        <f t="shared" si="12"/>
        <v>100</v>
      </c>
      <c r="T44" s="697" t="s">
        <v>18</v>
      </c>
      <c r="U44" s="698">
        <f t="shared" si="13"/>
        <v>100</v>
      </c>
      <c r="V44" s="697" t="s">
        <v>18</v>
      </c>
      <c r="W44" s="698">
        <f t="shared" si="14"/>
        <v>100</v>
      </c>
      <c r="X44" s="699"/>
      <c r="Y44" s="3729"/>
      <c r="Z44" s="52" t="str">
        <f t="shared" si="18"/>
        <v>设施设备情况</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9"/>
      <c r="L45" s="2714"/>
      <c r="M45" s="2708"/>
      <c r="N45" s="2708"/>
      <c r="O45" s="2708"/>
      <c r="P45" s="3779"/>
      <c r="Q45" s="1348">
        <f t="shared" si="11"/>
        <v>111</v>
      </c>
      <c r="R45" s="701" t="s">
        <v>18</v>
      </c>
      <c r="S45" s="702">
        <f t="shared" si="12"/>
        <v>100</v>
      </c>
      <c r="T45" s="701" t="s">
        <v>18</v>
      </c>
      <c r="U45" s="702">
        <f t="shared" si="13"/>
        <v>100</v>
      </c>
      <c r="V45" s="701" t="s">
        <v>18</v>
      </c>
      <c r="W45" s="702">
        <f t="shared" si="14"/>
        <v>100</v>
      </c>
      <c r="X45" s="1351"/>
      <c r="Y45" s="3729"/>
      <c r="Z45" s="1352">
        <f t="shared" si="18"/>
        <v>111</v>
      </c>
      <c r="AA45" s="1349">
        <f t="shared" si="15"/>
        <v>1</v>
      </c>
      <c r="AB45" s="1349">
        <f t="shared" si="16"/>
        <v>1</v>
      </c>
      <c r="AC45" s="1349">
        <f t="shared" si="17"/>
        <v>1</v>
      </c>
    </row>
    <row r="46" spans="1:29" ht="15.75" thickBot="1">
      <c r="A46" s="426"/>
      <c r="B46" s="1890">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9"/>
      <c r="L46" s="2714"/>
      <c r="M46" s="2708"/>
      <c r="N46" s="2708"/>
      <c r="O46" s="2708"/>
      <c r="P46" s="3780"/>
      <c r="Q46" s="1348">
        <f t="shared" si="11"/>
        <v>111</v>
      </c>
      <c r="R46" s="701" t="s">
        <v>17</v>
      </c>
      <c r="S46" s="702">
        <f t="shared" si="12"/>
        <v>100</v>
      </c>
      <c r="T46" s="701" t="s">
        <v>17</v>
      </c>
      <c r="U46" s="702">
        <f t="shared" si="13"/>
        <v>100</v>
      </c>
      <c r="V46" s="701" t="s">
        <v>17</v>
      </c>
      <c r="W46" s="702">
        <f t="shared" si="14"/>
        <v>100</v>
      </c>
      <c r="X46" s="1351"/>
      <c r="Y46" s="3781"/>
      <c r="Z46" s="1352">
        <f t="shared" si="18"/>
        <v>111</v>
      </c>
      <c r="AA46" s="1349">
        <f t="shared" si="15"/>
        <v>1</v>
      </c>
      <c r="AB46" s="1349">
        <f t="shared" si="16"/>
        <v>1</v>
      </c>
      <c r="AC46" s="1349">
        <f t="shared" si="17"/>
        <v>1</v>
      </c>
    </row>
    <row r="47" spans="1:29" ht="15">
      <c r="A47" s="427" t="s">
        <v>1708</v>
      </c>
      <c r="B47" s="428"/>
      <c r="C47" s="1150" t="s">
        <v>16</v>
      </c>
      <c r="D47" s="1151"/>
      <c r="E47" s="1152">
        <v>29000</v>
      </c>
      <c r="F47" s="1153"/>
      <c r="G47" s="1154">
        <v>29000</v>
      </c>
      <c r="H47" s="1155"/>
      <c r="I47" s="1152">
        <v>29000</v>
      </c>
      <c r="J47" s="1155"/>
      <c r="K47" s="1907"/>
      <c r="L47" s="2716"/>
      <c r="M47" s="2717"/>
      <c r="N47" s="2708"/>
      <c r="O47" s="2717"/>
      <c r="P47" s="3709" t="str">
        <f>A47</f>
        <v>成交单价（元/平方米）</v>
      </c>
      <c r="Q47" s="3709"/>
      <c r="R47" s="3777">
        <f>E47</f>
        <v>29000</v>
      </c>
      <c r="S47" s="3777"/>
      <c r="T47" s="3777">
        <f>G47</f>
        <v>29000</v>
      </c>
      <c r="U47" s="3777"/>
      <c r="V47" s="3777">
        <f>I47</f>
        <v>29000</v>
      </c>
      <c r="W47" s="3777"/>
      <c r="X47" s="686"/>
      <c r="Y47" s="708"/>
      <c r="Z47" s="686"/>
      <c r="AA47" s="686"/>
      <c r="AB47" s="686"/>
      <c r="AC47" s="686"/>
    </row>
    <row r="48" spans="1:29" ht="15.75" thickBot="1">
      <c r="A48" s="434" t="s">
        <v>1709</v>
      </c>
      <c r="B48" s="435"/>
      <c r="C48" s="1156">
        <f>R49</f>
        <v>29939</v>
      </c>
      <c r="D48" s="2310" t="s">
        <v>2138</v>
      </c>
      <c r="E48" s="1157">
        <f>R48</f>
        <v>30039</v>
      </c>
      <c r="F48" s="2311"/>
      <c r="G48" s="1156">
        <f>T48</f>
        <v>29888</v>
      </c>
      <c r="H48" s="2311"/>
      <c r="I48" s="1157">
        <f>V48</f>
        <v>29891</v>
      </c>
      <c r="J48" s="2311"/>
      <c r="K48" s="2312">
        <f>F48+H48+J48</f>
        <v>0</v>
      </c>
      <c r="L48" s="2716"/>
      <c r="M48" s="2717"/>
      <c r="N48" s="2717"/>
      <c r="O48" s="2717"/>
      <c r="P48" s="3709" t="str">
        <f>A48</f>
        <v>比较价值（元/平方米）</v>
      </c>
      <c r="Q48" s="3709"/>
      <c r="R48" s="3777">
        <f>IF(F1="售价",ROUND(PRODUCT(R47,AA7:AA46),0),ROUND(PRODUCT(R47,AA7:AA46),1))</f>
        <v>30039</v>
      </c>
      <c r="S48" s="3777"/>
      <c r="T48" s="3777">
        <f>IF(F1="售价",ROUND(PRODUCT(T47,AB7:AB46),0),ROUND(PRODUCT(T47,AB7:AB46),1))</f>
        <v>29888</v>
      </c>
      <c r="U48" s="3777"/>
      <c r="V48" s="3777">
        <f>IF(F1="售价",ROUND(PRODUCT(V47,AC7:AC46),0),ROUND(PRODUCT(V47,AC7:AC46),1))</f>
        <v>29891</v>
      </c>
      <c r="W48" s="3777"/>
      <c r="X48" s="686"/>
      <c r="Y48" s="686"/>
      <c r="Z48" s="686"/>
      <c r="AA48" s="686"/>
      <c r="AB48" s="686"/>
      <c r="AC48" s="686"/>
    </row>
    <row r="49" spans="1:29" ht="15.75" thickBot="1">
      <c r="A49" s="438" t="s">
        <v>1710</v>
      </c>
      <c r="B49" s="439"/>
      <c r="C49" s="1158">
        <f>R49</f>
        <v>29939</v>
      </c>
      <c r="D49" s="1159"/>
      <c r="E49" s="1159"/>
      <c r="F49" s="1159"/>
      <c r="G49" s="1159"/>
      <c r="H49" s="1159"/>
      <c r="I49" s="1159"/>
      <c r="J49" s="1159"/>
      <c r="K49" s="1908"/>
      <c r="L49" s="2716"/>
      <c r="M49" s="2717"/>
      <c r="N49" s="2717"/>
      <c r="O49" s="2717"/>
      <c r="P49" s="3731" t="str">
        <f>A49</f>
        <v>估价对象XX用房的比较价值（楼面单价，元/平方米）</v>
      </c>
      <c r="Q49" s="3732"/>
      <c r="R49" s="3776">
        <f>IF(F1="售价",ROUND(IF(D48="简单平均",AVERAGE(R48:V48),R48*F48+T48*H48+V48*J48),0),ROUND(IF(D48="简单平均",AVERAGE(R48:V48),R48*F48+T48*H48+V48*J48),1))</f>
        <v>29939</v>
      </c>
      <c r="S49" s="3776"/>
      <c r="T49" s="3776"/>
      <c r="U49" s="3776"/>
      <c r="V49" s="3776"/>
      <c r="W49" s="3776"/>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f>IF(E47&lt;E48,E48/E47-1,E47/E48-1)</f>
        <v>3.5827586206896633E-2</v>
      </c>
      <c r="F52" s="446" t="str">
        <f>IF(OR(E52&gt;=0.3,E52&lt;=-0.3),"超过30%","")</f>
        <v/>
      </c>
      <c r="G52" s="445">
        <f>IF(G47&lt;G48,G48/G47-1,G47/G48-1)</f>
        <v>3.0620689655172395E-2</v>
      </c>
      <c r="H52" s="446" t="str">
        <f>IF(OR(G52&gt;=0.3,G52&lt;=-0.3),"超过30%","")</f>
        <v/>
      </c>
      <c r="I52" s="445">
        <f>IF(I47&lt;I48,I48/I47-1,I47/I48-1)</f>
        <v>3.0724137931034567E-2</v>
      </c>
      <c r="J52" s="446" t="str">
        <f>IF(OR(I52&gt;=0.3,I52&lt;=-0.3),"超过30%","")</f>
        <v/>
      </c>
      <c r="K52" s="2722"/>
      <c r="L52" s="2718"/>
      <c r="M52" s="2717"/>
      <c r="N52" s="2717"/>
      <c r="O52" s="2717"/>
    </row>
    <row r="53" spans="1:29" ht="13.5" customHeight="1">
      <c r="A53" s="2717"/>
      <c r="B53" s="2717"/>
      <c r="C53" s="443" t="s">
        <v>1712</v>
      </c>
      <c r="D53" s="447"/>
      <c r="E53" s="445">
        <f>IF(E48&lt;G48,G48/E48-1,E48/G48-1)</f>
        <v>5.0521948608137635E-3</v>
      </c>
      <c r="F53" s="446" t="str">
        <f>IF(OR(E53&gt;=0.2,E53&lt;=-0.2),"超过20%","")</f>
        <v/>
      </c>
      <c r="G53" s="445">
        <f>IF(G48&lt;I48,I48/G48-1,G48/I48-1)</f>
        <v>1.0037473233404093E-4</v>
      </c>
      <c r="H53" s="446" t="str">
        <f>IF(OR(G53&gt;=0.2,G53&lt;=-0.2),"超过20%","")</f>
        <v/>
      </c>
      <c r="I53" s="445">
        <f>IF(I48&lt;E48,E48/I48-1,I48/E48-1)</f>
        <v>4.9513231407447567E-3</v>
      </c>
      <c r="J53" s="446" t="str">
        <f>IF(OR(I53&gt;=0.2,I53&lt;=-0.2),"超过20%","")</f>
        <v/>
      </c>
      <c r="K53" s="2722"/>
      <c r="L53" s="2718"/>
      <c r="M53" s="2717"/>
      <c r="N53" s="2717"/>
      <c r="O53" s="2717"/>
    </row>
    <row r="54" spans="1:29" s="448" customFormat="1" ht="13.5" customHeight="1">
      <c r="A54" s="2720"/>
      <c r="B54" s="2720"/>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5"/>
      <c r="L54" s="2719"/>
      <c r="M54" s="2720"/>
      <c r="N54" s="2720"/>
      <c r="O54" s="2720"/>
      <c r="P54" s="1910"/>
    </row>
    <row r="55" spans="1:29" s="448"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7"/>
      <c r="L57" s="938"/>
      <c r="M57" s="936"/>
      <c r="N57" s="936"/>
      <c r="O57" s="936"/>
      <c r="P57" s="1911"/>
      <c r="Q57" s="450"/>
    </row>
    <row r="58" spans="1:29" s="454" customFormat="1" ht="15">
      <c r="A58" s="451" t="s">
        <v>1715</v>
      </c>
      <c r="B58" s="452"/>
      <c r="C58" s="1182" t="str">
        <f>YEAR(C7)&amp;"-"&amp;MONTH(C7)</f>
        <v>2023-2</v>
      </c>
      <c r="D58" s="1181">
        <f>EDATE(C58,-1)</f>
        <v>44927</v>
      </c>
      <c r="E58" s="1181">
        <f>EDATE(D58,-1)</f>
        <v>44896</v>
      </c>
      <c r="F58" s="1181">
        <f t="shared" ref="F58:O58" si="19">EDATE(E58,-1)</f>
        <v>44866</v>
      </c>
      <c r="G58" s="1181">
        <f t="shared" si="19"/>
        <v>44835</v>
      </c>
      <c r="H58" s="1181">
        <f t="shared" si="19"/>
        <v>44805</v>
      </c>
      <c r="I58" s="1181">
        <f t="shared" si="19"/>
        <v>44774</v>
      </c>
      <c r="J58" s="1181">
        <f t="shared" si="19"/>
        <v>44743</v>
      </c>
      <c r="K58" s="1181">
        <f t="shared" si="19"/>
        <v>44713</v>
      </c>
      <c r="L58" s="1181">
        <f t="shared" si="19"/>
        <v>44682</v>
      </c>
      <c r="M58" s="1181">
        <f t="shared" si="19"/>
        <v>44652</v>
      </c>
      <c r="N58" s="1181">
        <f t="shared" si="19"/>
        <v>44621</v>
      </c>
      <c r="O58" s="1181">
        <f t="shared" si="19"/>
        <v>44593</v>
      </c>
      <c r="P58" s="1177"/>
    </row>
    <row r="59" spans="1:29" s="108" customFormat="1" ht="15">
      <c r="A59" s="455"/>
      <c r="B59" s="1912"/>
      <c r="C59" s="1179">
        <v>100</v>
      </c>
      <c r="D59" s="457">
        <v>100</v>
      </c>
      <c r="E59" s="458">
        <v>99.5</v>
      </c>
      <c r="F59" s="458">
        <v>99.5</v>
      </c>
      <c r="G59" s="458">
        <v>99.5</v>
      </c>
      <c r="H59" s="458">
        <v>99.5</v>
      </c>
      <c r="I59" s="458">
        <v>99.5</v>
      </c>
      <c r="J59" s="458">
        <v>99.5</v>
      </c>
      <c r="K59" s="458">
        <v>99.5</v>
      </c>
      <c r="L59" s="458">
        <v>99.5</v>
      </c>
      <c r="M59" s="458">
        <v>99.5</v>
      </c>
      <c r="N59" s="458">
        <v>99.5</v>
      </c>
      <c r="O59" s="458">
        <v>99.5</v>
      </c>
      <c r="P59" s="1913"/>
    </row>
    <row r="60" spans="1:29" s="108" customFormat="1" ht="15.75" thickBot="1">
      <c r="A60" s="461" t="s">
        <v>1716</v>
      </c>
      <c r="B60" s="462"/>
      <c r="C60" s="463"/>
      <c r="D60" s="464"/>
      <c r="E60" s="464"/>
      <c r="F60" s="464"/>
      <c r="G60" s="464"/>
      <c r="H60" s="464"/>
      <c r="I60" s="464"/>
      <c r="J60" s="464"/>
      <c r="K60" s="464"/>
      <c r="L60" s="464"/>
      <c r="M60" s="465"/>
      <c r="N60" s="464"/>
      <c r="O60" s="465"/>
      <c r="P60" s="1913"/>
      <c r="Q60" s="450"/>
    </row>
    <row r="61" spans="1:29" s="108" customFormat="1" ht="15">
      <c r="A61" s="467" t="s">
        <v>1717</v>
      </c>
      <c r="B61" s="456"/>
      <c r="C61" s="468" t="s">
        <v>1718</v>
      </c>
      <c r="D61" s="469"/>
      <c r="E61" s="469"/>
      <c r="F61" s="469"/>
      <c r="G61" s="469"/>
      <c r="H61" s="469"/>
      <c r="I61" s="469"/>
      <c r="J61" s="469"/>
      <c r="K61" s="469"/>
      <c r="L61" s="470"/>
      <c r="M61" s="471"/>
      <c r="N61" s="928"/>
      <c r="O61" s="928"/>
      <c r="P61" s="1914"/>
      <c r="Q61" s="450"/>
    </row>
    <row r="62" spans="1:29" s="108" customFormat="1" ht="15.75" thickBot="1">
      <c r="A62" s="467"/>
      <c r="B62" s="456"/>
      <c r="C62" s="457">
        <v>100</v>
      </c>
      <c r="D62" s="458"/>
      <c r="E62" s="458"/>
      <c r="F62" s="458"/>
      <c r="G62" s="458"/>
      <c r="H62" s="458"/>
      <c r="I62" s="458"/>
      <c r="J62" s="458"/>
      <c r="K62" s="458"/>
      <c r="L62" s="458"/>
      <c r="M62" s="460"/>
      <c r="N62" s="928"/>
      <c r="O62" s="928"/>
      <c r="P62" s="1913"/>
      <c r="Q62" s="450"/>
    </row>
    <row r="63" spans="1:29">
      <c r="A63" s="473" t="s">
        <v>1719</v>
      </c>
      <c r="B63" s="474" t="s">
        <v>1685</v>
      </c>
      <c r="C63" s="475" t="str">
        <f>C9</f>
        <v>住宅</v>
      </c>
      <c r="D63" s="476"/>
      <c r="E63" s="476"/>
      <c r="F63" s="476"/>
      <c r="G63" s="476"/>
      <c r="H63" s="476"/>
      <c r="I63" s="476"/>
      <c r="J63" s="476"/>
      <c r="K63" s="477"/>
      <c r="L63" s="478"/>
      <c r="M63" s="479"/>
      <c r="N63" s="929"/>
      <c r="O63" s="929"/>
      <c r="P63" s="1915"/>
      <c r="Q63" s="450"/>
    </row>
    <row r="64" spans="1:29" ht="15.75" thickBot="1">
      <c r="A64" s="480"/>
      <c r="B64" s="481"/>
      <c r="C64" s="482">
        <v>100</v>
      </c>
      <c r="D64" s="482"/>
      <c r="E64" s="482"/>
      <c r="F64" s="482"/>
      <c r="G64" s="482"/>
      <c r="H64" s="482"/>
      <c r="I64" s="482"/>
      <c r="J64" s="482"/>
      <c r="K64" s="482"/>
      <c r="L64" s="482"/>
      <c r="M64" s="483"/>
      <c r="N64" s="930"/>
      <c r="O64" s="930"/>
      <c r="P64" s="1915"/>
      <c r="Q64" s="450"/>
    </row>
    <row r="65" spans="1:17" ht="27.75" thickTop="1">
      <c r="A65" s="480"/>
      <c r="B65" s="484" t="s">
        <v>1688</v>
      </c>
      <c r="C65" s="529" t="s">
        <v>3569</v>
      </c>
      <c r="D65" s="529"/>
      <c r="E65" s="529"/>
      <c r="F65" s="529"/>
      <c r="G65" s="529"/>
      <c r="H65" s="529"/>
      <c r="I65" s="529"/>
      <c r="J65" s="529"/>
      <c r="K65" s="529"/>
      <c r="L65" s="529"/>
      <c r="M65" s="529"/>
      <c r="N65" s="930"/>
      <c r="O65" s="930"/>
      <c r="P65" s="1915"/>
      <c r="Q65" s="450"/>
    </row>
    <row r="66" spans="1:17" ht="15.75" thickBot="1">
      <c r="A66" s="480"/>
      <c r="B66" s="489"/>
      <c r="C66" s="482">
        <v>100</v>
      </c>
      <c r="D66" s="482"/>
      <c r="E66" s="482"/>
      <c r="F66" s="482"/>
      <c r="G66" s="482"/>
      <c r="H66" s="482"/>
      <c r="I66" s="482"/>
      <c r="J66" s="482"/>
      <c r="K66" s="482"/>
      <c r="L66" s="482"/>
      <c r="M66" s="483"/>
      <c r="N66" s="930"/>
      <c r="O66" s="930"/>
      <c r="P66" s="1915"/>
      <c r="Q66" s="450"/>
    </row>
    <row r="67" spans="1:17" ht="15.75" thickTop="1">
      <c r="A67" s="480"/>
      <c r="B67" s="492" t="s">
        <v>1689</v>
      </c>
      <c r="C67" s="493" t="str">
        <f>C68&amp;"（含）"&amp;"-"&amp;D68</f>
        <v>2.2（含）-2.3</v>
      </c>
      <c r="D67" s="493" t="str">
        <f t="shared" ref="D67:L67" si="20">D68&amp;"（含）"&amp;"-"&amp;E68</f>
        <v>2.3（含）-2.4</v>
      </c>
      <c r="E67" s="493" t="str">
        <f t="shared" si="20"/>
        <v>2.4（含）-2.5</v>
      </c>
      <c r="F67" s="493" t="str">
        <f t="shared" si="20"/>
        <v>2.5（含）-2.6</v>
      </c>
      <c r="G67" s="493" t="str">
        <f t="shared" si="20"/>
        <v>2.6（含）-2.7</v>
      </c>
      <c r="H67" s="493" t="str">
        <f t="shared" si="20"/>
        <v>2.7（含）-</v>
      </c>
      <c r="I67" s="493" t="str">
        <f t="shared" si="20"/>
        <v>（含）-</v>
      </c>
      <c r="J67" s="493" t="str">
        <f t="shared" si="20"/>
        <v>（含）-</v>
      </c>
      <c r="K67" s="493" t="str">
        <f>K68&amp;"（含）"&amp;"-"&amp;L68</f>
        <v>（含）-</v>
      </c>
      <c r="L67" s="493" t="str">
        <f t="shared" si="20"/>
        <v>（含）-</v>
      </c>
      <c r="M67" s="396" t="str">
        <f>M68&amp;"（含）"&amp;"-"&amp;P68</f>
        <v>（含）-</v>
      </c>
      <c r="N67" s="930"/>
      <c r="O67" s="930"/>
      <c r="P67" s="1915"/>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5"/>
      <c r="Q68" s="450"/>
    </row>
    <row r="69" spans="1:17" ht="15.75" thickBot="1">
      <c r="A69" s="480"/>
      <c r="B69" s="481"/>
      <c r="C69" s="490">
        <v>100</v>
      </c>
      <c r="D69" s="490">
        <f t="shared" ref="D69:M69" si="21">C69-$K11</f>
        <v>99.5</v>
      </c>
      <c r="E69" s="490">
        <f t="shared" si="21"/>
        <v>99</v>
      </c>
      <c r="F69" s="490">
        <f t="shared" si="21"/>
        <v>98.5</v>
      </c>
      <c r="G69" s="490">
        <f t="shared" si="21"/>
        <v>98</v>
      </c>
      <c r="H69" s="490">
        <f t="shared" si="21"/>
        <v>97.5</v>
      </c>
      <c r="I69" s="490">
        <f t="shared" si="21"/>
        <v>97</v>
      </c>
      <c r="J69" s="490">
        <f t="shared" si="21"/>
        <v>96.5</v>
      </c>
      <c r="K69" s="490">
        <f t="shared" si="21"/>
        <v>96</v>
      </c>
      <c r="L69" s="490">
        <f t="shared" si="21"/>
        <v>95.5</v>
      </c>
      <c r="M69" s="491">
        <f t="shared" si="21"/>
        <v>95</v>
      </c>
      <c r="N69" s="930"/>
      <c r="O69" s="930"/>
      <c r="P69" s="1915"/>
      <c r="Q69" s="450"/>
    </row>
    <row r="70" spans="1:17" s="419" customFormat="1" ht="15.75" thickTop="1">
      <c r="A70" s="499"/>
      <c r="B70" s="484" t="str">
        <f>B12</f>
        <v>产权性质</v>
      </c>
      <c r="C70" s="3474" t="s">
        <v>3570</v>
      </c>
      <c r="D70" s="500"/>
      <c r="E70" s="500"/>
      <c r="F70" s="500"/>
      <c r="G70" s="500"/>
      <c r="H70" s="501"/>
      <c r="I70" s="501"/>
      <c r="J70" s="501"/>
      <c r="K70" s="501"/>
      <c r="L70" s="502"/>
      <c r="M70" s="503"/>
      <c r="N70" s="931"/>
      <c r="O70" s="931"/>
      <c r="P70" s="1916"/>
      <c r="Q70" s="505"/>
    </row>
    <row r="71" spans="1:17" s="419" customFormat="1" ht="15.75" thickBot="1">
      <c r="A71" s="499"/>
      <c r="B71" s="489"/>
      <c r="C71" s="506">
        <v>100</v>
      </c>
      <c r="D71" s="482"/>
      <c r="E71" s="482"/>
      <c r="F71" s="482"/>
      <c r="G71" s="482"/>
      <c r="H71" s="482"/>
      <c r="I71" s="482"/>
      <c r="J71" s="482"/>
      <c r="K71" s="482"/>
      <c r="L71" s="482"/>
      <c r="M71" s="483"/>
      <c r="N71" s="930"/>
      <c r="O71" s="930"/>
      <c r="P71" s="1916"/>
      <c r="Q71" s="505"/>
    </row>
    <row r="72" spans="1:17" s="419" customFormat="1" ht="15.75" thickTop="1">
      <c r="A72" s="499"/>
      <c r="B72" s="484">
        <f>B13</f>
        <v>111</v>
      </c>
      <c r="C72" s="500"/>
      <c r="D72" s="500"/>
      <c r="E72" s="500"/>
      <c r="F72" s="500"/>
      <c r="G72" s="500"/>
      <c r="H72" s="501"/>
      <c r="I72" s="501"/>
      <c r="J72" s="501"/>
      <c r="K72" s="501"/>
      <c r="L72" s="502"/>
      <c r="M72" s="503"/>
      <c r="N72" s="931"/>
      <c r="O72" s="931"/>
      <c r="P72" s="1917"/>
      <c r="Q72" s="507"/>
    </row>
    <row r="73" spans="1:17" s="419" customFormat="1" ht="15.75" thickBot="1">
      <c r="A73" s="499"/>
      <c r="B73" s="489"/>
      <c r="C73" s="506"/>
      <c r="D73" s="506"/>
      <c r="E73" s="506"/>
      <c r="F73" s="506"/>
      <c r="G73" s="506"/>
      <c r="H73" s="508"/>
      <c r="I73" s="508"/>
      <c r="J73" s="508"/>
      <c r="K73" s="508"/>
      <c r="L73" s="508"/>
      <c r="M73" s="509"/>
      <c r="N73" s="931"/>
      <c r="O73" s="931"/>
      <c r="P73" s="1916"/>
      <c r="Q73" s="505"/>
    </row>
    <row r="74" spans="1:17" s="419" customFormat="1" ht="15.75" thickTop="1">
      <c r="A74" s="499"/>
      <c r="B74" s="492">
        <f>B14</f>
        <v>111</v>
      </c>
      <c r="C74" s="500"/>
      <c r="D74" s="500"/>
      <c r="E74" s="500"/>
      <c r="F74" s="500"/>
      <c r="G74" s="469"/>
      <c r="H74" s="510"/>
      <c r="I74" s="510"/>
      <c r="J74" s="510"/>
      <c r="K74" s="510"/>
      <c r="L74" s="511"/>
      <c r="M74" s="512"/>
      <c r="N74" s="931"/>
      <c r="O74" s="931"/>
      <c r="P74" s="1918"/>
      <c r="Q74" s="505"/>
    </row>
    <row r="75" spans="1:17" s="419" customFormat="1" ht="15.75" thickBot="1">
      <c r="A75" s="514"/>
      <c r="B75" s="515"/>
      <c r="C75" s="516"/>
      <c r="D75" s="516"/>
      <c r="E75" s="516"/>
      <c r="F75" s="516"/>
      <c r="G75" s="516"/>
      <c r="H75" s="517"/>
      <c r="I75" s="517"/>
      <c r="J75" s="517"/>
      <c r="K75" s="517"/>
      <c r="L75" s="517"/>
      <c r="M75" s="518"/>
      <c r="N75" s="931"/>
      <c r="O75" s="931"/>
      <c r="P75" s="1916"/>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9"/>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5"/>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5"/>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5"/>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5"/>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5"/>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5"/>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398"/>
      <c r="N83" s="930"/>
      <c r="O83" s="930"/>
      <c r="P83" s="1915"/>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5"/>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30"/>
      <c r="O85" s="930"/>
      <c r="P85" s="1915"/>
      <c r="Q85" s="450"/>
    </row>
    <row r="86" spans="1:17" s="108" customFormat="1" ht="15.75" thickTop="1">
      <c r="A86" s="525"/>
      <c r="B86" s="484" t="s">
        <v>1734</v>
      </c>
      <c r="C86" s="500"/>
      <c r="D86" s="500"/>
      <c r="E86" s="500"/>
      <c r="F86" s="500"/>
      <c r="G86" s="500"/>
      <c r="H86" s="500"/>
      <c r="I86" s="500"/>
      <c r="J86" s="500"/>
      <c r="K86" s="500"/>
      <c r="L86" s="526"/>
      <c r="M86" s="527"/>
      <c r="N86" s="928"/>
      <c r="O86" s="928"/>
      <c r="P86" s="1915"/>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5"/>
      <c r="Q87" s="450"/>
    </row>
    <row r="88" spans="1:17" s="108" customFormat="1" ht="15.75" thickTop="1">
      <c r="A88" s="525"/>
      <c r="B88" s="484" t="s">
        <v>1735</v>
      </c>
      <c r="C88" s="500"/>
      <c r="D88" s="500"/>
      <c r="E88" s="500"/>
      <c r="F88" s="1920"/>
      <c r="G88" s="500"/>
      <c r="H88" s="500"/>
      <c r="I88" s="500"/>
      <c r="J88" s="500"/>
      <c r="K88" s="500"/>
      <c r="L88" s="500"/>
      <c r="M88" s="527"/>
      <c r="N88" s="928"/>
      <c r="O88" s="928"/>
      <c r="P88" s="1915"/>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5"/>
      <c r="Q89" s="450"/>
    </row>
    <row r="90" spans="1:17" s="419" customFormat="1" ht="15.75" thickTop="1">
      <c r="A90" s="499"/>
      <c r="B90" s="484" t="str">
        <f>B27</f>
        <v>所在楼层</v>
      </c>
      <c r="C90" s="500" t="s">
        <v>3564</v>
      </c>
      <c r="D90" s="500"/>
      <c r="E90" s="500"/>
      <c r="F90" s="500"/>
      <c r="G90" s="500"/>
      <c r="H90" s="501"/>
      <c r="I90" s="501"/>
      <c r="J90" s="501"/>
      <c r="K90" s="501"/>
      <c r="L90" s="502"/>
      <c r="M90" s="503"/>
      <c r="N90" s="931"/>
      <c r="O90" s="931"/>
      <c r="P90" s="1916"/>
      <c r="Q90" s="505"/>
    </row>
    <row r="91" spans="1:17" s="419" customFormat="1" ht="15.75" thickBot="1">
      <c r="A91" s="499"/>
      <c r="B91" s="489"/>
      <c r="C91" s="506">
        <v>100</v>
      </c>
      <c r="D91" s="506"/>
      <c r="E91" s="506"/>
      <c r="F91" s="506"/>
      <c r="G91" s="506"/>
      <c r="H91" s="508"/>
      <c r="I91" s="508"/>
      <c r="J91" s="508"/>
      <c r="K91" s="508"/>
      <c r="L91" s="508"/>
      <c r="M91" s="509"/>
      <c r="N91" s="931"/>
      <c r="O91" s="931"/>
      <c r="P91" s="1916"/>
      <c r="Q91" s="505"/>
    </row>
    <row r="92" spans="1:17" ht="15.75" thickTop="1">
      <c r="A92" s="480"/>
      <c r="B92" s="484" t="str">
        <f>B28</f>
        <v>朝向</v>
      </c>
      <c r="C92" s="500" t="s">
        <v>3565</v>
      </c>
      <c r="D92" s="500"/>
      <c r="E92" s="500"/>
      <c r="F92" s="500"/>
      <c r="G92" s="529"/>
      <c r="H92" s="529"/>
      <c r="I92" s="529"/>
      <c r="J92" s="529"/>
      <c r="K92" s="530"/>
      <c r="L92" s="531"/>
      <c r="M92" s="532"/>
      <c r="N92" s="929"/>
      <c r="O92" s="929"/>
      <c r="P92" s="1915"/>
      <c r="Q92" s="450"/>
    </row>
    <row r="93" spans="1:17" ht="15.75" thickBot="1">
      <c r="A93" s="480"/>
      <c r="B93" s="489"/>
      <c r="C93" s="506">
        <v>100</v>
      </c>
      <c r="D93" s="482"/>
      <c r="E93" s="482"/>
      <c r="F93" s="482"/>
      <c r="G93" s="482"/>
      <c r="H93" s="482"/>
      <c r="I93" s="482"/>
      <c r="J93" s="482"/>
      <c r="K93" s="482"/>
      <c r="L93" s="482"/>
      <c r="M93" s="483"/>
      <c r="N93" s="930"/>
      <c r="O93" s="930"/>
      <c r="P93" s="1915"/>
      <c r="Q93" s="450"/>
    </row>
    <row r="94" spans="1:17" ht="15.75" thickTop="1">
      <c r="A94" s="480"/>
      <c r="B94" s="484" t="str">
        <f>B29</f>
        <v>临街状况</v>
      </c>
      <c r="C94" s="3461" t="s">
        <v>3571</v>
      </c>
      <c r="D94" s="3461" t="s">
        <v>3572</v>
      </c>
      <c r="E94" s="3461" t="s">
        <v>3573</v>
      </c>
      <c r="F94" s="500"/>
      <c r="G94" s="529"/>
      <c r="H94" s="529"/>
      <c r="I94" s="529"/>
      <c r="J94" s="529"/>
      <c r="K94" s="530"/>
      <c r="L94" s="531"/>
      <c r="M94" s="532"/>
      <c r="N94" s="929"/>
      <c r="O94" s="929"/>
      <c r="P94" s="1915"/>
      <c r="Q94" s="450"/>
    </row>
    <row r="95" spans="1:17" ht="15.75" thickBot="1">
      <c r="A95" s="480"/>
      <c r="B95" s="489"/>
      <c r="C95" s="506">
        <v>100</v>
      </c>
      <c r="D95" s="506">
        <v>102</v>
      </c>
      <c r="E95" s="506">
        <v>104</v>
      </c>
      <c r="F95" s="506"/>
      <c r="G95" s="482"/>
      <c r="H95" s="482"/>
      <c r="I95" s="482"/>
      <c r="J95" s="482"/>
      <c r="K95" s="482"/>
      <c r="L95" s="482"/>
      <c r="M95" s="483"/>
      <c r="N95" s="930"/>
      <c r="O95" s="930"/>
      <c r="P95" s="1915"/>
      <c r="Q95" s="450"/>
    </row>
    <row r="96" spans="1:17" ht="15.75" thickTop="1">
      <c r="A96" s="480"/>
      <c r="B96" s="484">
        <f>B30</f>
        <v>111</v>
      </c>
      <c r="C96" s="500"/>
      <c r="D96" s="500"/>
      <c r="E96" s="500"/>
      <c r="F96" s="500"/>
      <c r="G96" s="529"/>
      <c r="H96" s="529"/>
      <c r="I96" s="529"/>
      <c r="J96" s="529"/>
      <c r="K96" s="530"/>
      <c r="L96" s="531"/>
      <c r="M96" s="532"/>
      <c r="N96" s="929"/>
      <c r="O96" s="929"/>
      <c r="P96" s="1915"/>
      <c r="Q96" s="450"/>
    </row>
    <row r="97" spans="1:17" ht="15.75" thickBot="1">
      <c r="A97" s="480"/>
      <c r="B97" s="489"/>
      <c r="C97" s="516"/>
      <c r="D97" s="516"/>
      <c r="E97" s="516"/>
      <c r="F97" s="516"/>
      <c r="G97" s="482"/>
      <c r="H97" s="482"/>
      <c r="I97" s="482"/>
      <c r="J97" s="482"/>
      <c r="K97" s="482"/>
      <c r="L97" s="482"/>
      <c r="M97" s="483"/>
      <c r="N97" s="930"/>
      <c r="O97" s="930"/>
      <c r="P97" s="1915"/>
      <c r="Q97" s="450"/>
    </row>
    <row r="98" spans="1:17" ht="15.75" thickTop="1">
      <c r="A98" s="480"/>
      <c r="B98" s="492">
        <f>B31</f>
        <v>111</v>
      </c>
      <c r="C98" s="533"/>
      <c r="D98" s="533"/>
      <c r="E98" s="533"/>
      <c r="F98" s="533"/>
      <c r="G98" s="533"/>
      <c r="H98" s="533"/>
      <c r="I98" s="533"/>
      <c r="J98" s="533"/>
      <c r="K98" s="534"/>
      <c r="L98" s="535"/>
      <c r="M98" s="536"/>
      <c r="N98" s="929"/>
      <c r="O98" s="929"/>
      <c r="P98" s="1915"/>
      <c r="Q98" s="450"/>
    </row>
    <row r="99" spans="1:17" ht="15.75" thickBot="1">
      <c r="A99" s="1921"/>
      <c r="B99" s="515"/>
      <c r="C99" s="537"/>
      <c r="D99" s="537"/>
      <c r="E99" s="537"/>
      <c r="F99" s="537"/>
      <c r="G99" s="537"/>
      <c r="H99" s="537"/>
      <c r="I99" s="537"/>
      <c r="J99" s="537"/>
      <c r="K99" s="537"/>
      <c r="L99" s="537"/>
      <c r="M99" s="538"/>
      <c r="N99" s="930"/>
      <c r="O99" s="930"/>
      <c r="P99" s="1915"/>
      <c r="Q99" s="450"/>
    </row>
    <row r="100" spans="1:17">
      <c r="A100" s="473" t="s">
        <v>1694</v>
      </c>
      <c r="B100" s="474" t="s">
        <v>1736</v>
      </c>
      <c r="C100" s="354" t="s">
        <v>3576</v>
      </c>
      <c r="D100" s="3475" t="s">
        <v>3574</v>
      </c>
      <c r="E100" s="3475" t="s">
        <v>3575</v>
      </c>
      <c r="F100" s="476" t="s">
        <v>3577</v>
      </c>
      <c r="G100" s="476" t="s">
        <v>3578</v>
      </c>
      <c r="H100" s="476"/>
      <c r="I100" s="476"/>
      <c r="J100" s="476"/>
      <c r="K100" s="477"/>
      <c r="L100" s="478"/>
      <c r="M100" s="479"/>
      <c r="N100" s="929"/>
      <c r="O100" s="929"/>
      <c r="P100" s="1915"/>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30"/>
      <c r="O101" s="930"/>
      <c r="P101" s="1915"/>
      <c r="Q101" s="450"/>
    </row>
    <row r="102" spans="1:17" ht="15.75" thickTop="1">
      <c r="A102" s="480"/>
      <c r="B102" s="484" t="s">
        <v>1737</v>
      </c>
      <c r="C102" s="524" t="str">
        <f>C103&amp;"(含)"&amp;"-"&amp;D103</f>
        <v>0(含)-100</v>
      </c>
      <c r="D102" s="524" t="str">
        <f t="shared" ref="D102:L102" si="26">D103&amp;"(含)"&amp;"-"&amp;E103</f>
        <v>100(含)-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5"/>
      <c r="Q102" s="450"/>
    </row>
    <row r="103" spans="1:17" s="419" customFormat="1">
      <c r="A103" s="539"/>
      <c r="B103" s="540"/>
      <c r="C103" s="541">
        <v>0</v>
      </c>
      <c r="D103" s="541">
        <v>100</v>
      </c>
      <c r="E103" s="541"/>
      <c r="F103" s="541"/>
      <c r="G103" s="541"/>
      <c r="H103" s="541"/>
      <c r="I103" s="541"/>
      <c r="J103" s="542"/>
      <c r="K103" s="542"/>
      <c r="L103" s="543"/>
      <c r="M103" s="544"/>
      <c r="N103" s="931"/>
      <c r="O103" s="931"/>
      <c r="P103" s="1916"/>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6"/>
      <c r="Q104" s="505"/>
    </row>
    <row r="105" spans="1:17" ht="15" thickTop="1">
      <c r="A105" s="545"/>
      <c r="B105" s="484" t="s">
        <v>1738</v>
      </c>
      <c r="C105" s="500" t="s">
        <v>3586</v>
      </c>
      <c r="D105" s="500"/>
      <c r="E105" s="529"/>
      <c r="F105" s="529"/>
      <c r="G105" s="529"/>
      <c r="H105" s="529"/>
      <c r="I105" s="529"/>
      <c r="J105" s="529"/>
      <c r="K105" s="530"/>
      <c r="L105" s="531"/>
      <c r="M105" s="532"/>
      <c r="N105" s="929"/>
      <c r="O105" s="929"/>
      <c r="P105" s="1915"/>
      <c r="Q105" s="450"/>
    </row>
    <row r="106" spans="1:17" ht="15.75" thickBot="1">
      <c r="A106" s="480"/>
      <c r="B106" s="489"/>
      <c r="C106" s="490">
        <v>100</v>
      </c>
      <c r="D106" s="490">
        <f t="shared" ref="D106:M106" si="27">C106-$K34</f>
        <v>98</v>
      </c>
      <c r="E106" s="490">
        <f t="shared" si="27"/>
        <v>96</v>
      </c>
      <c r="F106" s="490">
        <f t="shared" si="27"/>
        <v>94</v>
      </c>
      <c r="G106" s="490">
        <f t="shared" si="27"/>
        <v>92</v>
      </c>
      <c r="H106" s="490">
        <f t="shared" si="27"/>
        <v>90</v>
      </c>
      <c r="I106" s="490">
        <f t="shared" si="27"/>
        <v>88</v>
      </c>
      <c r="J106" s="490">
        <f t="shared" si="27"/>
        <v>86</v>
      </c>
      <c r="K106" s="490">
        <f t="shared" si="27"/>
        <v>84</v>
      </c>
      <c r="L106" s="490">
        <f t="shared" si="27"/>
        <v>82</v>
      </c>
      <c r="M106" s="490">
        <f t="shared" si="27"/>
        <v>80</v>
      </c>
      <c r="N106" s="930"/>
      <c r="O106" s="930"/>
      <c r="P106" s="1915"/>
      <c r="Q106" s="450"/>
    </row>
    <row r="107" spans="1:17" ht="15" thickTop="1">
      <c r="A107" s="545"/>
      <c r="B107" s="484" t="s">
        <v>1739</v>
      </c>
      <c r="C107" s="529"/>
      <c r="D107" s="529"/>
      <c r="E107" s="529"/>
      <c r="F107" s="529"/>
      <c r="G107" s="529"/>
      <c r="H107" s="529"/>
      <c r="I107" s="529"/>
      <c r="J107" s="529"/>
      <c r="K107" s="530"/>
      <c r="L107" s="531"/>
      <c r="M107" s="532"/>
      <c r="N107" s="929"/>
      <c r="O107" s="929"/>
      <c r="P107" s="1915"/>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5"/>
      <c r="Q108" s="450"/>
    </row>
    <row r="109" spans="1:17" ht="15" thickTop="1">
      <c r="A109" s="545"/>
      <c r="B109" s="484" t="s">
        <v>1740</v>
      </c>
      <c r="C109" s="500"/>
      <c r="D109" s="500"/>
      <c r="E109" s="500"/>
      <c r="F109" s="529"/>
      <c r="G109" s="529"/>
      <c r="H109" s="529"/>
      <c r="I109" s="529"/>
      <c r="J109" s="529"/>
      <c r="K109" s="530"/>
      <c r="L109" s="531"/>
      <c r="M109" s="532"/>
      <c r="N109" s="929"/>
      <c r="O109" s="929"/>
      <c r="P109" s="1915"/>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5"/>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6"/>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6"/>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6"/>
      <c r="Q113" s="505"/>
    </row>
    <row r="114" spans="1:17" ht="15" thickTop="1">
      <c r="A114" s="545"/>
      <c r="B114" s="484" t="s">
        <v>1741</v>
      </c>
      <c r="C114" s="3461" t="s">
        <v>3579</v>
      </c>
      <c r="D114" s="500"/>
      <c r="E114" s="529"/>
      <c r="F114" s="529"/>
      <c r="G114" s="529"/>
      <c r="H114" s="529"/>
      <c r="I114" s="529"/>
      <c r="J114" s="529"/>
      <c r="K114" s="530"/>
      <c r="L114" s="531"/>
      <c r="M114" s="532"/>
      <c r="N114" s="929"/>
      <c r="O114" s="929"/>
      <c r="P114" s="1915"/>
      <c r="Q114" s="450"/>
    </row>
    <row r="115" spans="1:17" ht="15.75" thickBot="1">
      <c r="A115" s="480"/>
      <c r="B115" s="489"/>
      <c r="C115" s="490">
        <v>100</v>
      </c>
      <c r="D115" s="490">
        <f t="shared" ref="D115:M115" si="30">C115-$K38</f>
        <v>98</v>
      </c>
      <c r="E115" s="490">
        <f t="shared" si="30"/>
        <v>96</v>
      </c>
      <c r="F115" s="490">
        <f t="shared" si="30"/>
        <v>94</v>
      </c>
      <c r="G115" s="490">
        <f t="shared" si="30"/>
        <v>92</v>
      </c>
      <c r="H115" s="490">
        <f t="shared" si="30"/>
        <v>90</v>
      </c>
      <c r="I115" s="490">
        <f t="shared" si="30"/>
        <v>88</v>
      </c>
      <c r="J115" s="490">
        <f t="shared" si="30"/>
        <v>86</v>
      </c>
      <c r="K115" s="490">
        <f t="shared" si="30"/>
        <v>84</v>
      </c>
      <c r="L115" s="490">
        <f t="shared" si="30"/>
        <v>82</v>
      </c>
      <c r="M115" s="490">
        <f t="shared" si="30"/>
        <v>80</v>
      </c>
      <c r="N115" s="930"/>
      <c r="O115" s="930"/>
      <c r="P115" s="1915"/>
      <c r="Q115" s="450"/>
    </row>
    <row r="116" spans="1:17" ht="15" thickTop="1">
      <c r="A116" s="545"/>
      <c r="B116" s="484" t="s">
        <v>1742</v>
      </c>
      <c r="C116" s="3461" t="s">
        <v>3530</v>
      </c>
      <c r="D116" s="3461" t="s">
        <v>3531</v>
      </c>
      <c r="E116" s="3461" t="s">
        <v>3532</v>
      </c>
      <c r="F116" s="3461" t="s">
        <v>3533</v>
      </c>
      <c r="G116" s="3461" t="s">
        <v>3534</v>
      </c>
      <c r="H116" s="529"/>
      <c r="I116" s="529"/>
      <c r="J116" s="529"/>
      <c r="K116" s="530"/>
      <c r="L116" s="531"/>
      <c r="M116" s="532"/>
      <c r="N116" s="929"/>
      <c r="O116" s="929"/>
      <c r="P116" s="1915"/>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5"/>
      <c r="Q117" s="450"/>
    </row>
    <row r="118" spans="1:17" ht="15" thickTop="1">
      <c r="A118" s="545"/>
      <c r="B118" s="484" t="s">
        <v>1743</v>
      </c>
      <c r="C118" s="3462" t="s">
        <v>3580</v>
      </c>
      <c r="D118" s="529"/>
      <c r="E118" s="529"/>
      <c r="F118" s="529"/>
      <c r="G118" s="529"/>
      <c r="H118" s="529"/>
      <c r="I118" s="529"/>
      <c r="J118" s="529"/>
      <c r="K118" s="530"/>
      <c r="L118" s="531"/>
      <c r="M118" s="532"/>
      <c r="N118" s="929"/>
      <c r="O118" s="929"/>
      <c r="P118" s="1915"/>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5"/>
      <c r="Q119" s="450"/>
    </row>
    <row r="120" spans="1:17" s="419" customFormat="1" ht="86.25" thickTop="1">
      <c r="A120" s="539"/>
      <c r="B120" s="484" t="s">
        <v>1705</v>
      </c>
      <c r="C120" s="3476" t="s">
        <v>3581</v>
      </c>
      <c r="D120" s="500" t="s">
        <v>3591</v>
      </c>
      <c r="E120" s="500"/>
      <c r="F120" s="500"/>
      <c r="G120" s="500"/>
      <c r="H120" s="500"/>
      <c r="I120" s="500"/>
      <c r="J120" s="500"/>
      <c r="K120" s="500"/>
      <c r="L120" s="526"/>
      <c r="M120" s="527"/>
      <c r="N120" s="931"/>
      <c r="O120" s="931"/>
      <c r="P120" s="1916"/>
      <c r="Q120" s="505"/>
    </row>
    <row r="121" spans="1:17" s="419" customFormat="1" ht="15.75" thickBot="1">
      <c r="A121" s="499"/>
      <c r="B121" s="481"/>
      <c r="C121" s="506">
        <v>100</v>
      </c>
      <c r="D121" s="482">
        <v>99</v>
      </c>
      <c r="E121" s="482"/>
      <c r="F121" s="482"/>
      <c r="G121" s="482"/>
      <c r="H121" s="482"/>
      <c r="I121" s="482"/>
      <c r="J121" s="482"/>
      <c r="K121" s="482"/>
      <c r="L121" s="482"/>
      <c r="M121" s="482"/>
      <c r="N121" s="931"/>
      <c r="O121" s="931"/>
      <c r="P121" s="1916"/>
      <c r="Q121" s="505"/>
    </row>
    <row r="122" spans="1:17" ht="15" thickTop="1">
      <c r="A122" s="545"/>
      <c r="B122" s="484" t="s">
        <v>1744</v>
      </c>
      <c r="C122" s="3461" t="s">
        <v>3582</v>
      </c>
      <c r="D122" s="500"/>
      <c r="E122" s="500"/>
      <c r="F122" s="529"/>
      <c r="G122" s="529"/>
      <c r="H122" s="529"/>
      <c r="I122" s="529"/>
      <c r="J122" s="529"/>
      <c r="K122" s="530"/>
      <c r="L122" s="531"/>
      <c r="M122" s="532"/>
      <c r="N122" s="929"/>
      <c r="O122" s="929"/>
      <c r="P122" s="1915"/>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5"/>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6"/>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5"/>
      <c r="Q125" s="450"/>
    </row>
    <row r="126" spans="1:17" s="419" customFormat="1" ht="15" thickTop="1">
      <c r="A126" s="539"/>
      <c r="B126" s="484" t="str">
        <f>B44</f>
        <v>设施设备情况</v>
      </c>
      <c r="C126" s="500" t="s">
        <v>3583</v>
      </c>
      <c r="D126" s="3477" t="s">
        <v>3584</v>
      </c>
      <c r="E126" s="500"/>
      <c r="F126" s="500"/>
      <c r="G126" s="500"/>
      <c r="H126" s="501"/>
      <c r="I126" s="501"/>
      <c r="J126" s="501"/>
      <c r="K126" s="501"/>
      <c r="L126" s="502"/>
      <c r="M126" s="503"/>
      <c r="N126" s="931"/>
      <c r="O126" s="931"/>
      <c r="P126" s="1916"/>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6"/>
      <c r="Q127" s="505"/>
    </row>
    <row r="128" spans="1:17" ht="15" thickTop="1">
      <c r="A128" s="545"/>
      <c r="B128" s="484">
        <f>B45</f>
        <v>111</v>
      </c>
      <c r="C128" s="500"/>
      <c r="D128" s="500"/>
      <c r="E128" s="500"/>
      <c r="F128" s="500"/>
      <c r="G128" s="529"/>
      <c r="H128" s="529"/>
      <c r="I128" s="529"/>
      <c r="J128" s="529"/>
      <c r="K128" s="530"/>
      <c r="L128" s="531"/>
      <c r="M128" s="532"/>
      <c r="N128" s="929"/>
      <c r="O128" s="929"/>
      <c r="P128" s="1915"/>
      <c r="Q128" s="450"/>
    </row>
    <row r="129" spans="1:17" ht="15.75" thickBot="1">
      <c r="A129" s="480"/>
      <c r="B129" s="489"/>
      <c r="C129" s="506"/>
      <c r="D129" s="506"/>
      <c r="E129" s="506"/>
      <c r="F129" s="506"/>
      <c r="G129" s="482"/>
      <c r="H129" s="482"/>
      <c r="I129" s="482"/>
      <c r="J129" s="482"/>
      <c r="K129" s="482"/>
      <c r="L129" s="482"/>
      <c r="M129" s="483"/>
      <c r="N129" s="930"/>
      <c r="O129" s="930"/>
      <c r="P129" s="1915"/>
      <c r="Q129" s="450"/>
    </row>
    <row r="130" spans="1:17" ht="15" thickTop="1">
      <c r="A130" s="545"/>
      <c r="B130" s="492">
        <f>B46</f>
        <v>111</v>
      </c>
      <c r="C130" s="500"/>
      <c r="D130" s="500"/>
      <c r="E130" s="500"/>
      <c r="F130" s="500"/>
      <c r="G130" s="533"/>
      <c r="H130" s="533"/>
      <c r="I130" s="533"/>
      <c r="J130" s="533"/>
      <c r="K130" s="469"/>
      <c r="L130" s="470"/>
      <c r="M130" s="536"/>
      <c r="N130" s="929"/>
      <c r="O130" s="929"/>
      <c r="P130" s="1915"/>
      <c r="Q130" s="450"/>
    </row>
    <row r="131" spans="1:17" ht="15.75" thickBot="1">
      <c r="A131" s="1921"/>
      <c r="B131" s="515"/>
      <c r="C131" s="516"/>
      <c r="D131" s="516"/>
      <c r="E131" s="516"/>
      <c r="F131" s="516"/>
      <c r="G131" s="537"/>
      <c r="H131" s="537"/>
      <c r="I131" s="537"/>
      <c r="J131" s="537"/>
      <c r="K131" s="537"/>
      <c r="L131" s="537"/>
      <c r="M131" s="538"/>
      <c r="N131" s="930"/>
      <c r="O131" s="930"/>
      <c r="P131" s="1915"/>
      <c r="Q131" s="450"/>
    </row>
    <row r="136" spans="1:17" ht="15" thickBot="1">
      <c r="B136" s="1922" t="s">
        <v>1746</v>
      </c>
    </row>
    <row r="137" spans="1:17" ht="15">
      <c r="B137" s="1923" t="s">
        <v>1747</v>
      </c>
      <c r="C137" s="1924"/>
      <c r="D137" s="1924"/>
      <c r="E137" s="1924"/>
      <c r="F137" s="1924"/>
      <c r="G137" s="1925"/>
      <c r="H137" s="1926"/>
      <c r="I137" s="1927" t="s">
        <v>1748</v>
      </c>
      <c r="J137" s="1924"/>
      <c r="K137" s="1928"/>
    </row>
    <row r="138" spans="1:17" ht="15">
      <c r="B138" s="1929"/>
      <c r="C138" s="135" t="s">
        <v>1749</v>
      </c>
      <c r="D138" s="135" t="s">
        <v>1750</v>
      </c>
      <c r="E138" s="1930" t="s">
        <v>1751</v>
      </c>
      <c r="F138" s="1931" t="s">
        <v>1752</v>
      </c>
      <c r="G138" s="135" t="s">
        <v>1750</v>
      </c>
      <c r="H138" s="136" t="s">
        <v>1751</v>
      </c>
      <c r="I138" s="1932"/>
      <c r="J138" s="135" t="s">
        <v>1753</v>
      </c>
      <c r="K138" s="136" t="s">
        <v>1754</v>
      </c>
    </row>
    <row r="139" spans="1:17" ht="15">
      <c r="B139" s="863">
        <v>6</v>
      </c>
      <c r="C139" s="864">
        <v>96</v>
      </c>
      <c r="D139" s="1933" t="s">
        <v>1755</v>
      </c>
      <c r="E139" s="865">
        <v>100</v>
      </c>
      <c r="F139" s="866">
        <v>102.5</v>
      </c>
      <c r="G139" s="1933" t="s">
        <v>1755</v>
      </c>
      <c r="H139" s="867">
        <v>105</v>
      </c>
      <c r="I139" s="1934" t="s">
        <v>1756</v>
      </c>
      <c r="J139" s="864">
        <v>20</v>
      </c>
      <c r="K139" s="868">
        <f>C145/(J139-2)</f>
        <v>4.0555555555555553E-3</v>
      </c>
    </row>
    <row r="140" spans="1:17" ht="15">
      <c r="B140" s="869">
        <v>5</v>
      </c>
      <c r="C140" s="870">
        <v>100</v>
      </c>
      <c r="D140" s="870"/>
      <c r="E140" s="871"/>
      <c r="F140" s="872">
        <v>102</v>
      </c>
      <c r="G140" s="870"/>
      <c r="H140" s="873"/>
      <c r="I140" s="1935" t="s">
        <v>1757</v>
      </c>
      <c r="J140" s="268">
        <f>ROUNDUP((J139-1)/2,0)</f>
        <v>10</v>
      </c>
      <c r="K140" s="874">
        <v>100</v>
      </c>
    </row>
    <row r="141" spans="1:17" ht="15">
      <c r="B141" s="869">
        <v>4</v>
      </c>
      <c r="C141" s="870">
        <v>102</v>
      </c>
      <c r="D141" s="870"/>
      <c r="E141" s="871"/>
      <c r="F141" s="872">
        <v>101.5</v>
      </c>
      <c r="G141" s="870"/>
      <c r="H141" s="873"/>
      <c r="I141" s="1935" t="s">
        <v>1758</v>
      </c>
      <c r="J141" s="268">
        <v>1</v>
      </c>
      <c r="K141" s="875">
        <f>ROUND(100+(J141-J140)*K139*100,1)</f>
        <v>96.4</v>
      </c>
    </row>
    <row r="142" spans="1:17" ht="15">
      <c r="B142" s="869">
        <v>3</v>
      </c>
      <c r="C142" s="870">
        <v>103</v>
      </c>
      <c r="D142" s="870"/>
      <c r="E142" s="871"/>
      <c r="F142" s="872">
        <v>101</v>
      </c>
      <c r="G142" s="870"/>
      <c r="H142" s="873"/>
      <c r="I142" s="1935" t="s">
        <v>1759</v>
      </c>
      <c r="J142" s="268">
        <f>J139</f>
        <v>20</v>
      </c>
      <c r="K142" s="876">
        <v>95</v>
      </c>
    </row>
    <row r="143" spans="1:17" ht="15">
      <c r="B143" s="869">
        <v>2</v>
      </c>
      <c r="C143" s="870">
        <v>100</v>
      </c>
      <c r="D143" s="870"/>
      <c r="E143" s="871"/>
      <c r="F143" s="872">
        <v>100.5</v>
      </c>
      <c r="G143" s="870"/>
      <c r="H143" s="873"/>
      <c r="I143" s="1935" t="s">
        <v>1760</v>
      </c>
      <c r="J143" s="870">
        <v>15</v>
      </c>
      <c r="K143" s="875">
        <f>ROUND(100+(J143-J140)*K139*100,1)</f>
        <v>102</v>
      </c>
    </row>
    <row r="144" spans="1:17" ht="15">
      <c r="B144" s="869">
        <v>1</v>
      </c>
      <c r="C144" s="870">
        <v>98</v>
      </c>
      <c r="D144" s="1936" t="s">
        <v>1761</v>
      </c>
      <c r="E144" s="871">
        <v>102</v>
      </c>
      <c r="F144" s="877">
        <v>100</v>
      </c>
      <c r="G144" s="1936" t="s">
        <v>1761</v>
      </c>
      <c r="H144" s="873">
        <v>105</v>
      </c>
      <c r="I144" s="1935" t="s">
        <v>1760</v>
      </c>
      <c r="J144" s="870">
        <v>18</v>
      </c>
      <c r="K144" s="875">
        <f>ROUND(100+(J144-J140)*K139*100,1)</f>
        <v>103.2</v>
      </c>
    </row>
    <row r="145" spans="2:11" ht="15.75" thickBot="1">
      <c r="B145" s="1937" t="s">
        <v>1762</v>
      </c>
      <c r="C145" s="878">
        <f>ROUND(MAX(C139:C144)/MIN(C139:C144)-1,3)</f>
        <v>7.2999999999999995E-2</v>
      </c>
      <c r="D145" s="879"/>
      <c r="E145" s="879"/>
      <c r="F145" s="1938" t="s">
        <v>1763</v>
      </c>
      <c r="G145" s="1939"/>
      <c r="H145" s="1940"/>
      <c r="I145" s="1941" t="s">
        <v>1760</v>
      </c>
      <c r="J145" s="880">
        <v>8</v>
      </c>
      <c r="K145" s="881">
        <f>ROUND(100+(J145-J140)*K139*100,1)</f>
        <v>99.2</v>
      </c>
    </row>
    <row r="147" spans="2:11">
      <c r="B147" s="1922" t="s">
        <v>1764</v>
      </c>
    </row>
    <row r="148" spans="2:11">
      <c r="B148" s="1922"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C32 E32 G32 I32" xr:uid="{00000000-0002-0000-1D00-000006000000}">
      <formula1>住宅建筑类型</formula1>
    </dataValidation>
    <dataValidation type="list" allowBlank="1" showInputMessage="1" showErrorMessage="1" sqref="C34 E34 G34 I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C38 E38 G38 I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C40 E40 G40 I40" xr:uid="{00000000-0002-0000-1D00-00000C000000}">
      <formula1>住宅房型</formula1>
    </dataValidation>
    <dataValidation type="list" allowBlank="1" showInputMessage="1" showErrorMessage="1" sqref="C42 E42 G42 I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G1:K10"/>
  <sheetViews>
    <sheetView workbookViewId="0">
      <selection activeCell="I7" sqref="I7"/>
    </sheetView>
  </sheetViews>
  <sheetFormatPr defaultColWidth="11" defaultRowHeight="14.25"/>
  <sheetData>
    <row r="1" spans="7:11">
      <c r="G1" s="3488" t="s">
        <v>4278</v>
      </c>
      <c r="H1" s="3488" t="s">
        <v>4279</v>
      </c>
      <c r="I1" s="3488" t="s">
        <v>4280</v>
      </c>
      <c r="J1" s="3488" t="s">
        <v>4281</v>
      </c>
      <c r="K1" s="3488" t="s">
        <v>4282</v>
      </c>
    </row>
    <row r="2" spans="7:11">
      <c r="G2" s="3488" t="s">
        <v>4266</v>
      </c>
      <c r="H2" s="3488">
        <v>999</v>
      </c>
      <c r="I2" s="3488">
        <v>29000</v>
      </c>
      <c r="J2" s="3489">
        <v>0.6</v>
      </c>
      <c r="K2" s="3490"/>
    </row>
    <row r="3" spans="7:11" ht="28.5">
      <c r="G3" s="3488" t="s">
        <v>4267</v>
      </c>
      <c r="H3" s="3488">
        <v>171</v>
      </c>
      <c r="I3" s="3488">
        <v>17500</v>
      </c>
      <c r="J3" s="3489">
        <v>0.4</v>
      </c>
      <c r="K3" s="3491"/>
    </row>
    <row r="4" spans="7:11" ht="42.75">
      <c r="G4" s="3488" t="s">
        <v>4268</v>
      </c>
      <c r="H4" s="3488">
        <v>584</v>
      </c>
      <c r="I4" s="3488">
        <v>29000</v>
      </c>
      <c r="J4" s="3489">
        <v>0.6</v>
      </c>
      <c r="K4" s="3491"/>
    </row>
    <row r="5" spans="7:11" ht="42.75">
      <c r="G5" s="3488" t="s">
        <v>4269</v>
      </c>
      <c r="H5" s="3488">
        <v>2224</v>
      </c>
      <c r="I5" s="3488">
        <v>29000</v>
      </c>
      <c r="J5" s="3489">
        <v>0.8</v>
      </c>
      <c r="K5" s="3491"/>
    </row>
    <row r="6" spans="7:11" ht="28.5">
      <c r="G6" s="3488" t="s">
        <v>4270</v>
      </c>
      <c r="H6" s="3488">
        <v>360</v>
      </c>
      <c r="I6" s="3488">
        <v>30000</v>
      </c>
      <c r="J6" s="3489">
        <v>0.7</v>
      </c>
      <c r="K6" s="3490"/>
    </row>
    <row r="7" spans="7:11">
      <c r="G7" s="3492" t="s">
        <v>4271</v>
      </c>
      <c r="H7" s="3492">
        <v>1508</v>
      </c>
      <c r="I7" s="3492">
        <v>29000</v>
      </c>
      <c r="J7" s="3493">
        <v>0.7</v>
      </c>
      <c r="K7" s="3494" t="s">
        <v>4274</v>
      </c>
    </row>
    <row r="8" spans="7:11" ht="28.5">
      <c r="G8" s="3492" t="s">
        <v>4272</v>
      </c>
      <c r="H8" s="3492">
        <v>1101</v>
      </c>
      <c r="I8" s="3492">
        <v>29000</v>
      </c>
      <c r="J8" s="3493">
        <v>0.7</v>
      </c>
      <c r="K8" s="3494" t="s">
        <v>4274</v>
      </c>
    </row>
    <row r="9" spans="7:11">
      <c r="G9" s="3492" t="s">
        <v>4273</v>
      </c>
      <c r="H9" s="3492">
        <v>1130</v>
      </c>
      <c r="I9" s="3492">
        <v>29000</v>
      </c>
      <c r="J9" s="3493">
        <v>0.7</v>
      </c>
      <c r="K9" s="3494" t="s">
        <v>4274</v>
      </c>
    </row>
    <row r="10" spans="7:11">
      <c r="G10" s="3488" t="s">
        <v>4275</v>
      </c>
      <c r="H10" s="3488">
        <v>348</v>
      </c>
      <c r="I10" s="3488" t="s">
        <v>4276</v>
      </c>
      <c r="J10" s="3489">
        <v>0.79</v>
      </c>
      <c r="K10" s="3490" t="s">
        <v>4277</v>
      </c>
    </row>
  </sheetData>
  <phoneticPr fontId="24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K26"/>
  <sheetViews>
    <sheetView view="pageBreakPreview" zoomScale="80" zoomScaleNormal="80" zoomScaleSheetLayoutView="80" workbookViewId="0">
      <selection activeCell="F15" sqref="F15"/>
    </sheetView>
  </sheetViews>
  <sheetFormatPr defaultColWidth="9" defaultRowHeight="14.25"/>
  <cols>
    <col min="1" max="1" width="25" style="2505" customWidth="1"/>
    <col min="2" max="9" width="15.875" style="2505" customWidth="1"/>
    <col min="10" max="16384" width="9" style="2505"/>
  </cols>
  <sheetData>
    <row r="1" spans="1:11" ht="16.5">
      <c r="A1" s="2504" t="s">
        <v>665</v>
      </c>
      <c r="B1" s="2504">
        <f>SUM(B14:B23)</f>
        <v>319300</v>
      </c>
      <c r="C1" s="2678"/>
      <c r="D1" s="2678"/>
      <c r="E1" s="2678"/>
      <c r="F1" s="2678"/>
      <c r="G1" s="2679"/>
      <c r="H1" s="2680"/>
      <c r="I1" s="2680"/>
      <c r="J1" s="2680"/>
      <c r="K1" s="2680"/>
    </row>
    <row r="2" spans="1:11" ht="16.5">
      <c r="A2" s="2504" t="s">
        <v>653</v>
      </c>
      <c r="B2" s="2504">
        <f>SUM(C14:C23)</f>
        <v>145200</v>
      </c>
      <c r="C2" s="2678"/>
      <c r="D2" s="2678"/>
      <c r="E2" s="2678"/>
      <c r="F2" s="2678"/>
      <c r="G2" s="2679"/>
      <c r="H2" s="2680"/>
      <c r="I2" s="2680"/>
      <c r="J2" s="2680"/>
      <c r="K2" s="2680"/>
    </row>
    <row r="3" spans="1:11" ht="16.5">
      <c r="A3" s="2504" t="s">
        <v>662</v>
      </c>
      <c r="B3" s="2506">
        <f>项目基本情况!D3</f>
        <v>44970</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931142.66</v>
      </c>
      <c r="C5" s="2504">
        <f ca="1">IF(B5=D14,结果表!H102,ROUND(B5*10000/$B$1,0))</f>
        <v>29162</v>
      </c>
      <c r="D5" s="2504">
        <f ca="1">ROUND(B5*10000/$B$2,0)</f>
        <v>64128</v>
      </c>
      <c r="E5" s="2678"/>
      <c r="F5" s="2679"/>
      <c r="G5" s="2679"/>
      <c r="H5" s="2680"/>
      <c r="I5" s="2680"/>
      <c r="J5" s="2680"/>
      <c r="K5" s="2680"/>
    </row>
    <row r="6" spans="1:11" ht="16.5">
      <c r="A6" s="2504" t="s">
        <v>656</v>
      </c>
      <c r="B6" s="2504">
        <f>SUM(G14:G23)</f>
        <v>0</v>
      </c>
      <c r="C6" s="2504">
        <f ca="1">IF(B6=G14,结果表!H108,ROUND(B6*10000/$B$1,0))</f>
        <v>29162</v>
      </c>
      <c r="D6" s="2504">
        <f>ROUND(B6*10000/$B$2,0)</f>
        <v>0</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多规!G8*10000</f>
        <v>319300</v>
      </c>
      <c r="C14" s="2510">
        <f>多规!E8*10000</f>
        <v>145200</v>
      </c>
      <c r="D14" s="2510">
        <f ca="1">B14*E14/10000</f>
        <v>931142.66</v>
      </c>
      <c r="E14" s="2510">
        <f ca="1">C6</f>
        <v>29162</v>
      </c>
      <c r="F14" s="2510">
        <f ca="1">ROUND(D14*10000/C14,0)</f>
        <v>64128</v>
      </c>
      <c r="G14" s="2510"/>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27"/>
      <c r="H15" s="1327"/>
      <c r="I15" s="2511"/>
      <c r="J15" s="2679"/>
      <c r="K15" s="2680"/>
    </row>
    <row r="16" spans="1:11" ht="16.5">
      <c r="A16" s="2509" t="s">
        <v>648</v>
      </c>
      <c r="B16" s="2511"/>
      <c r="C16" s="2511"/>
      <c r="D16" s="2511"/>
      <c r="E16" s="2510" t="e">
        <f t="shared" si="0"/>
        <v>#DIV/0!</v>
      </c>
      <c r="F16" s="2510" t="e">
        <f t="shared" si="1"/>
        <v>#DIV/0!</v>
      </c>
      <c r="G16" s="1327"/>
      <c r="H16" s="1327"/>
      <c r="I16" s="2511"/>
      <c r="J16" s="2680"/>
      <c r="K16" s="2680"/>
    </row>
    <row r="17" spans="1:11" ht="16.5">
      <c r="A17" s="2509" t="s">
        <v>647</v>
      </c>
      <c r="B17" s="2511"/>
      <c r="C17" s="2511"/>
      <c r="D17" s="2511"/>
      <c r="E17" s="2510" t="e">
        <f t="shared" si="0"/>
        <v>#DIV/0!</v>
      </c>
      <c r="F17" s="2510" t="e">
        <f t="shared" si="1"/>
        <v>#DIV/0!</v>
      </c>
      <c r="G17" s="1327"/>
      <c r="H17" s="1327"/>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B1C4B-0EAE-4BC0-8417-4A0684E548FD}">
  <sheetPr filterMode="1"/>
  <dimension ref="A1:AZ74"/>
  <sheetViews>
    <sheetView topLeftCell="F26" workbookViewId="0">
      <selection activeCell="A66" sqref="A66:XFD66"/>
    </sheetView>
  </sheetViews>
  <sheetFormatPr defaultColWidth="9.5" defaultRowHeight="12"/>
  <cols>
    <col min="1" max="1" width="39.125" style="3478" customWidth="1"/>
    <col min="2" max="5" width="0" style="3478" hidden="1" customWidth="1"/>
    <col min="6" max="6" width="9.5" style="3478"/>
    <col min="7" max="7" width="13.5" style="3478" customWidth="1"/>
    <col min="8" max="8" width="14.375" style="3478" customWidth="1"/>
    <col min="9" max="12" width="9.5" style="3478"/>
    <col min="13" max="13" width="27" style="3478" customWidth="1"/>
    <col min="14" max="28" width="9.5" style="3478"/>
    <col min="29" max="29" width="9.5" style="3479"/>
    <col min="30" max="31" width="9.5" style="3478"/>
    <col min="32" max="32" width="16.375" style="3478" customWidth="1"/>
    <col min="33" max="41" width="9.5" style="3478"/>
    <col min="42" max="42" width="9.5" style="3479"/>
    <col min="43" max="45" width="9.5" style="3478"/>
    <col min="46" max="46" width="40" style="3478" customWidth="1"/>
    <col min="47" max="16384" width="9.5" style="3478"/>
  </cols>
  <sheetData>
    <row r="1" spans="1:52">
      <c r="A1" s="3784" t="s">
        <v>3417</v>
      </c>
      <c r="B1" s="3784" t="s">
        <v>4265</v>
      </c>
      <c r="C1" s="3784" t="s">
        <v>3384</v>
      </c>
      <c r="D1" s="3784" t="s">
        <v>4264</v>
      </c>
      <c r="E1" s="3784" t="s">
        <v>4263</v>
      </c>
      <c r="F1" s="3784" t="s">
        <v>4262</v>
      </c>
      <c r="G1" s="3784" t="s">
        <v>4261</v>
      </c>
      <c r="H1" s="3784" t="s">
        <v>3418</v>
      </c>
      <c r="I1" s="3784" t="s">
        <v>3419</v>
      </c>
      <c r="J1" s="3784" t="s">
        <v>3420</v>
      </c>
      <c r="K1" s="3784" t="s">
        <v>3421</v>
      </c>
      <c r="L1" s="3784" t="s">
        <v>3422</v>
      </c>
      <c r="M1" s="3784" t="s">
        <v>3423</v>
      </c>
      <c r="N1" s="3784" t="s">
        <v>3424</v>
      </c>
      <c r="O1" s="3784" t="s">
        <v>4260</v>
      </c>
      <c r="P1" s="3784" t="s">
        <v>4259</v>
      </c>
      <c r="Q1" s="3784" t="s">
        <v>4258</v>
      </c>
      <c r="R1" s="3784" t="s">
        <v>4257</v>
      </c>
      <c r="S1" s="3784" t="s">
        <v>4256</v>
      </c>
      <c r="T1" s="3784" t="s">
        <v>4255</v>
      </c>
      <c r="U1" s="3784" t="s">
        <v>4254</v>
      </c>
      <c r="V1" s="3784" t="s">
        <v>4253</v>
      </c>
      <c r="W1" s="3784" t="s">
        <v>4252</v>
      </c>
      <c r="X1" s="3784" t="s">
        <v>4251</v>
      </c>
      <c r="Y1" s="3784" t="s">
        <v>4250</v>
      </c>
      <c r="Z1" s="3784" t="s">
        <v>4249</v>
      </c>
      <c r="AA1" s="3784" t="s">
        <v>4248</v>
      </c>
      <c r="AB1" s="3784" t="s">
        <v>3425</v>
      </c>
      <c r="AC1" s="3786" t="s">
        <v>3426</v>
      </c>
      <c r="AD1" s="3784" t="s">
        <v>4247</v>
      </c>
      <c r="AE1" s="3784" t="s">
        <v>3427</v>
      </c>
      <c r="AF1" s="3784" t="s">
        <v>3428</v>
      </c>
      <c r="AG1" s="3784" t="s">
        <v>4246</v>
      </c>
      <c r="AH1" s="3784" t="s">
        <v>4245</v>
      </c>
      <c r="AI1" s="3784" t="s">
        <v>3429</v>
      </c>
      <c r="AJ1" s="3784" t="s">
        <v>3430</v>
      </c>
      <c r="AK1" s="3784" t="s">
        <v>3431</v>
      </c>
      <c r="AL1" s="3784" t="s">
        <v>3432</v>
      </c>
      <c r="AM1" s="3784" t="s">
        <v>4244</v>
      </c>
      <c r="AN1" s="3784" t="s">
        <v>4243</v>
      </c>
      <c r="AO1" s="3784" t="s">
        <v>4242</v>
      </c>
      <c r="AP1" s="3786" t="s">
        <v>3433</v>
      </c>
      <c r="AQ1" s="3784" t="s">
        <v>4241</v>
      </c>
      <c r="AR1" s="3784" t="s">
        <v>4240</v>
      </c>
      <c r="AS1" s="3784" t="s">
        <v>3434</v>
      </c>
      <c r="AT1" s="3784" t="s">
        <v>4239</v>
      </c>
      <c r="AU1" s="3784" t="s">
        <v>4238</v>
      </c>
      <c r="AV1" s="3784" t="s">
        <v>4237</v>
      </c>
      <c r="AW1" s="3784" t="s">
        <v>4236</v>
      </c>
      <c r="AX1" s="3784" t="s">
        <v>4235</v>
      </c>
      <c r="AY1" s="3784" t="s">
        <v>4234</v>
      </c>
      <c r="AZ1" s="3784" t="s">
        <v>4233</v>
      </c>
    </row>
    <row r="2" spans="1:52" hidden="1">
      <c r="A2" s="3784" t="s">
        <v>4232</v>
      </c>
      <c r="B2" s="3784" t="s">
        <v>3378</v>
      </c>
      <c r="C2" s="3784" t="s">
        <v>4231</v>
      </c>
      <c r="D2" s="3784" t="s">
        <v>3608</v>
      </c>
      <c r="E2" s="3784" t="s">
        <v>3747</v>
      </c>
      <c r="F2" s="3784" t="s">
        <v>3746</v>
      </c>
      <c r="G2" s="3784" t="s">
        <v>4230</v>
      </c>
      <c r="H2" s="3784" t="s">
        <v>3438</v>
      </c>
      <c r="I2" s="3784">
        <v>31231.38</v>
      </c>
      <c r="J2" s="3784">
        <v>78078.45</v>
      </c>
      <c r="K2" s="3784">
        <v>2.5</v>
      </c>
      <c r="L2" s="3784" t="s">
        <v>3439</v>
      </c>
      <c r="M2" s="3784" t="s">
        <v>3640</v>
      </c>
      <c r="N2" s="3784" t="s">
        <v>4221</v>
      </c>
      <c r="O2" s="3784" t="s">
        <v>3480</v>
      </c>
      <c r="P2" s="3784">
        <v>0.3</v>
      </c>
      <c r="Q2" s="3784" t="s">
        <v>4229</v>
      </c>
      <c r="R2" s="3784" t="s">
        <v>4143</v>
      </c>
      <c r="S2" s="3784" t="s">
        <v>3599</v>
      </c>
      <c r="T2" s="3784" t="s">
        <v>3478</v>
      </c>
      <c r="U2" s="3784" t="s">
        <v>3478</v>
      </c>
      <c r="V2" s="3784" t="s">
        <v>3478</v>
      </c>
      <c r="W2" s="3784" t="s">
        <v>3478</v>
      </c>
      <c r="X2" s="3784">
        <v>0</v>
      </c>
      <c r="Y2" s="3784">
        <v>0</v>
      </c>
      <c r="Z2" s="3787">
        <v>44925.000497685185</v>
      </c>
      <c r="AA2" s="3787">
        <v>44945.000497685185</v>
      </c>
      <c r="AB2" s="3787">
        <v>44964.000497685185</v>
      </c>
      <c r="AC2" s="3785">
        <v>44964.000497685185</v>
      </c>
      <c r="AD2" s="3784" t="s">
        <v>4228</v>
      </c>
      <c r="AE2" s="3784" t="s">
        <v>3442</v>
      </c>
      <c r="AF2" s="3784" t="s">
        <v>4011</v>
      </c>
      <c r="AG2" s="3784" t="s">
        <v>3852</v>
      </c>
      <c r="AH2" s="3784" t="s">
        <v>3624</v>
      </c>
      <c r="AI2" s="3784">
        <v>172000</v>
      </c>
      <c r="AJ2" s="3784">
        <v>35000</v>
      </c>
      <c r="AK2" s="3784" t="s">
        <v>4227</v>
      </c>
      <c r="AL2" s="3784">
        <v>172000</v>
      </c>
      <c r="AM2" s="3784">
        <v>3671.52</v>
      </c>
      <c r="AN2" s="3784">
        <v>3671.52</v>
      </c>
      <c r="AO2" s="3784">
        <v>22029</v>
      </c>
      <c r="AP2" s="3786">
        <v>22029</v>
      </c>
      <c r="AQ2" s="3784" t="s">
        <v>3478</v>
      </c>
      <c r="AR2" s="3784" t="s">
        <v>3478</v>
      </c>
      <c r="AS2" s="3784">
        <v>0</v>
      </c>
      <c r="AT2" s="3784" t="s">
        <v>4153</v>
      </c>
      <c r="AU2" s="3784">
        <v>197800</v>
      </c>
      <c r="AV2" s="3784" t="s">
        <v>3926</v>
      </c>
      <c r="AW2" s="3784">
        <v>45000</v>
      </c>
      <c r="AX2" s="3784">
        <v>25333</v>
      </c>
      <c r="AY2" s="3784">
        <v>15</v>
      </c>
      <c r="AZ2" s="3784">
        <v>22971</v>
      </c>
    </row>
    <row r="3" spans="1:52">
      <c r="A3" s="3784" t="s">
        <v>4226</v>
      </c>
      <c r="B3" s="3784" t="s">
        <v>3378</v>
      </c>
      <c r="C3" s="3784" t="s">
        <v>4225</v>
      </c>
      <c r="D3" s="3784" t="s">
        <v>3608</v>
      </c>
      <c r="E3" s="3784" t="s">
        <v>3621</v>
      </c>
      <c r="F3" s="3784" t="s">
        <v>3728</v>
      </c>
      <c r="G3" s="3784" t="s">
        <v>4224</v>
      </c>
      <c r="H3" s="3784" t="s">
        <v>3455</v>
      </c>
      <c r="I3" s="3784">
        <v>71668</v>
      </c>
      <c r="J3" s="3784">
        <v>194641.99</v>
      </c>
      <c r="K3" s="3784" t="s">
        <v>4223</v>
      </c>
      <c r="L3" s="3784" t="s">
        <v>3439</v>
      </c>
      <c r="M3" s="3784" t="s">
        <v>4222</v>
      </c>
      <c r="N3" s="3784" t="s">
        <v>4221</v>
      </c>
      <c r="O3" s="3784" t="s">
        <v>3480</v>
      </c>
      <c r="P3" s="3784" t="s">
        <v>4220</v>
      </c>
      <c r="Q3" s="3784" t="s">
        <v>4219</v>
      </c>
      <c r="R3" s="3784" t="s">
        <v>4218</v>
      </c>
      <c r="S3" s="3784" t="s">
        <v>3599</v>
      </c>
      <c r="T3" s="3784" t="s">
        <v>3478</v>
      </c>
      <c r="U3" s="3784" t="s">
        <v>3478</v>
      </c>
      <c r="V3" s="3784" t="s">
        <v>3478</v>
      </c>
      <c r="W3" s="3784" t="s">
        <v>3478</v>
      </c>
      <c r="X3" s="3784">
        <v>0</v>
      </c>
      <c r="Y3" s="3784">
        <v>0</v>
      </c>
      <c r="Z3" s="3787">
        <v>44925.000497685185</v>
      </c>
      <c r="AA3" s="3787">
        <v>44945.000497685185</v>
      </c>
      <c r="AB3" s="3787">
        <v>44964.000497685185</v>
      </c>
      <c r="AC3" s="3785">
        <v>44964.000497685185</v>
      </c>
      <c r="AD3" s="3784" t="s">
        <v>4217</v>
      </c>
      <c r="AE3" s="3784" t="s">
        <v>3442</v>
      </c>
      <c r="AF3" s="3784" t="s">
        <v>4216</v>
      </c>
      <c r="AG3" s="3784" t="s">
        <v>4215</v>
      </c>
      <c r="AH3" s="3784" t="s">
        <v>3644</v>
      </c>
      <c r="AI3" s="3784">
        <v>311200</v>
      </c>
      <c r="AJ3" s="3784">
        <v>63000</v>
      </c>
      <c r="AK3" s="3784" t="s">
        <v>633</v>
      </c>
      <c r="AL3" s="3784">
        <v>311200</v>
      </c>
      <c r="AM3" s="3784">
        <v>2894.83</v>
      </c>
      <c r="AN3" s="3784">
        <v>2894.83</v>
      </c>
      <c r="AO3" s="3784">
        <v>15988</v>
      </c>
      <c r="AP3" s="3786">
        <v>15988</v>
      </c>
      <c r="AQ3" s="3784" t="s">
        <v>3478</v>
      </c>
      <c r="AR3" s="3784" t="s">
        <v>3478</v>
      </c>
      <c r="AS3" s="3784">
        <v>0</v>
      </c>
      <c r="AT3" s="3784" t="s">
        <v>4214</v>
      </c>
      <c r="AU3" s="3784">
        <v>357880</v>
      </c>
      <c r="AV3" s="3784" t="s">
        <v>3926</v>
      </c>
      <c r="AW3" s="3784">
        <v>58000</v>
      </c>
      <c r="AX3" s="3784">
        <v>18387</v>
      </c>
      <c r="AY3" s="3784">
        <v>15</v>
      </c>
      <c r="AZ3" s="3784">
        <v>42012</v>
      </c>
    </row>
    <row r="4" spans="1:52" hidden="1">
      <c r="A4" s="3784" t="s">
        <v>4213</v>
      </c>
      <c r="B4" s="3784" t="s">
        <v>3378</v>
      </c>
      <c r="C4" s="3784" t="s">
        <v>4212</v>
      </c>
      <c r="D4" s="3784" t="s">
        <v>3608</v>
      </c>
      <c r="E4" s="3784" t="s">
        <v>3747</v>
      </c>
      <c r="F4" s="3784" t="s">
        <v>3746</v>
      </c>
      <c r="G4" s="3784" t="s">
        <v>3917</v>
      </c>
      <c r="H4" s="3784" t="s">
        <v>3455</v>
      </c>
      <c r="I4" s="3784">
        <v>17779.03</v>
      </c>
      <c r="J4" s="3784">
        <v>18677</v>
      </c>
      <c r="K4" s="3784" t="s">
        <v>4211</v>
      </c>
      <c r="L4" s="3784" t="s">
        <v>3439</v>
      </c>
      <c r="M4" s="3784" t="s">
        <v>3603</v>
      </c>
      <c r="N4" s="3784" t="s">
        <v>4158</v>
      </c>
      <c r="O4" s="3784" t="s">
        <v>3480</v>
      </c>
      <c r="P4" s="3784" t="s">
        <v>4210</v>
      </c>
      <c r="Q4" s="3784" t="s">
        <v>4209</v>
      </c>
      <c r="R4" s="3784" t="s">
        <v>4208</v>
      </c>
      <c r="S4" s="3784" t="s">
        <v>3652</v>
      </c>
      <c r="T4" s="3784" t="s">
        <v>3478</v>
      </c>
      <c r="U4" s="3784" t="s">
        <v>3478</v>
      </c>
      <c r="V4" s="3784" t="s">
        <v>3478</v>
      </c>
      <c r="W4" s="3784" t="s">
        <v>3478</v>
      </c>
      <c r="X4" s="3784">
        <v>0</v>
      </c>
      <c r="Y4" s="3784">
        <v>0</v>
      </c>
      <c r="Z4" s="3787">
        <v>44791.000497685185</v>
      </c>
      <c r="AA4" s="3787">
        <v>44811.000497685185</v>
      </c>
      <c r="AB4" s="3787">
        <v>44826.000497685185</v>
      </c>
      <c r="AC4" s="3785">
        <v>44826.000497685185</v>
      </c>
      <c r="AD4" s="3784" t="s">
        <v>4207</v>
      </c>
      <c r="AE4" s="3784" t="s">
        <v>3442</v>
      </c>
      <c r="AF4" s="3784" t="s">
        <v>4206</v>
      </c>
      <c r="AG4" s="3784" t="s">
        <v>4205</v>
      </c>
      <c r="AH4" s="3784" t="s">
        <v>3662</v>
      </c>
      <c r="AI4" s="3784">
        <v>43000</v>
      </c>
      <c r="AJ4" s="3784">
        <v>8600</v>
      </c>
      <c r="AK4" s="3784" t="s">
        <v>4154</v>
      </c>
      <c r="AL4" s="3784">
        <v>43000</v>
      </c>
      <c r="AM4" s="3784">
        <v>1612.39</v>
      </c>
      <c r="AN4" s="3784">
        <v>1612.39</v>
      </c>
      <c r="AO4" s="3784">
        <v>23023</v>
      </c>
      <c r="AP4" s="3786">
        <v>23023</v>
      </c>
      <c r="AQ4" s="3784" t="s">
        <v>3478</v>
      </c>
      <c r="AR4" s="3784" t="s">
        <v>3478</v>
      </c>
      <c r="AS4" s="3784">
        <v>0</v>
      </c>
      <c r="AT4" s="3784" t="s">
        <v>4187</v>
      </c>
      <c r="AU4" s="3784">
        <v>49450</v>
      </c>
      <c r="AV4" s="3784" t="s">
        <v>3926</v>
      </c>
      <c r="AW4" s="3784" t="s">
        <v>3480</v>
      </c>
      <c r="AX4" s="3784">
        <v>26476</v>
      </c>
      <c r="AY4" s="3784">
        <v>15</v>
      </c>
      <c r="AZ4" s="3784" t="s">
        <v>3478</v>
      </c>
    </row>
    <row r="5" spans="1:52">
      <c r="A5" s="3784" t="s">
        <v>4204</v>
      </c>
      <c r="B5" s="3784" t="s">
        <v>3378</v>
      </c>
      <c r="C5" s="3784" t="s">
        <v>4203</v>
      </c>
      <c r="D5" s="3784" t="s">
        <v>3608</v>
      </c>
      <c r="E5" s="3784" t="s">
        <v>3621</v>
      </c>
      <c r="F5" s="3784" t="s">
        <v>3728</v>
      </c>
      <c r="G5" s="3784" t="s">
        <v>4202</v>
      </c>
      <c r="H5" s="3784" t="s">
        <v>3438</v>
      </c>
      <c r="I5" s="3784">
        <v>21625</v>
      </c>
      <c r="J5" s="3784">
        <v>43250</v>
      </c>
      <c r="K5" s="3784" t="s">
        <v>3488</v>
      </c>
      <c r="L5" s="3784" t="s">
        <v>3439</v>
      </c>
      <c r="M5" s="3784" t="s">
        <v>3640</v>
      </c>
      <c r="N5" s="3784" t="s">
        <v>4158</v>
      </c>
      <c r="O5" s="3784" t="s">
        <v>3480</v>
      </c>
      <c r="P5" s="3784">
        <v>0.3</v>
      </c>
      <c r="Q5" s="3784" t="s">
        <v>3906</v>
      </c>
      <c r="R5" s="3784" t="s">
        <v>4201</v>
      </c>
      <c r="S5" s="3784" t="s">
        <v>4200</v>
      </c>
      <c r="T5" s="3784" t="s">
        <v>3478</v>
      </c>
      <c r="U5" s="3784" t="s">
        <v>3478</v>
      </c>
      <c r="V5" s="3784" t="s">
        <v>3478</v>
      </c>
      <c r="W5" s="3784" t="s">
        <v>3478</v>
      </c>
      <c r="X5" s="3784">
        <v>0</v>
      </c>
      <c r="Y5" s="3784">
        <v>0</v>
      </c>
      <c r="Z5" s="3787">
        <v>44791.000497685185</v>
      </c>
      <c r="AA5" s="3787">
        <v>44811.000497685185</v>
      </c>
      <c r="AB5" s="3787">
        <v>44826.000497685185</v>
      </c>
      <c r="AC5" s="3785">
        <v>44826.000497685185</v>
      </c>
      <c r="AD5" s="3784" t="s">
        <v>4199</v>
      </c>
      <c r="AE5" s="3784" t="s">
        <v>3442</v>
      </c>
      <c r="AF5" s="3784" t="s">
        <v>4198</v>
      </c>
      <c r="AG5" s="3784" t="s">
        <v>4197</v>
      </c>
      <c r="AH5" s="3784" t="s">
        <v>3662</v>
      </c>
      <c r="AI5" s="3784">
        <v>143000</v>
      </c>
      <c r="AJ5" s="3784">
        <v>29000</v>
      </c>
      <c r="AK5" s="3784" t="s">
        <v>4154</v>
      </c>
      <c r="AL5" s="3784">
        <v>143000</v>
      </c>
      <c r="AM5" s="3784">
        <v>4408.4799999999996</v>
      </c>
      <c r="AN5" s="3784">
        <v>4408.4799999999996</v>
      </c>
      <c r="AO5" s="3784">
        <v>33064</v>
      </c>
      <c r="AP5" s="3786">
        <v>33064</v>
      </c>
      <c r="AQ5" s="3784" t="s">
        <v>3478</v>
      </c>
      <c r="AR5" s="3784" t="s">
        <v>3478</v>
      </c>
      <c r="AS5" s="3784">
        <v>0</v>
      </c>
      <c r="AT5" s="3784" t="s">
        <v>4153</v>
      </c>
      <c r="AU5" s="3784">
        <v>164450</v>
      </c>
      <c r="AV5" s="3784" t="s">
        <v>3926</v>
      </c>
      <c r="AW5" s="3784" t="s">
        <v>3480</v>
      </c>
      <c r="AX5" s="3784">
        <v>38023</v>
      </c>
      <c r="AY5" s="3784">
        <v>15</v>
      </c>
      <c r="AZ5" s="3784" t="s">
        <v>3478</v>
      </c>
    </row>
    <row r="6" spans="1:52" hidden="1">
      <c r="A6" s="3784" t="s">
        <v>4196</v>
      </c>
      <c r="B6" s="3784" t="s">
        <v>3378</v>
      </c>
      <c r="C6" s="3784" t="s">
        <v>4195</v>
      </c>
      <c r="D6" s="3784" t="s">
        <v>3608</v>
      </c>
      <c r="E6" s="3784" t="s">
        <v>3747</v>
      </c>
      <c r="F6" s="3784" t="s">
        <v>3769</v>
      </c>
      <c r="G6" s="3784" t="s">
        <v>4194</v>
      </c>
      <c r="H6" s="3784" t="s">
        <v>3455</v>
      </c>
      <c r="I6" s="3784">
        <v>48701.2</v>
      </c>
      <c r="J6" s="3784">
        <v>111831</v>
      </c>
      <c r="K6" s="3784" t="s">
        <v>4193</v>
      </c>
      <c r="L6" s="3784" t="s">
        <v>3439</v>
      </c>
      <c r="M6" s="3784" t="s">
        <v>3603</v>
      </c>
      <c r="N6" s="3784" t="s">
        <v>4158</v>
      </c>
      <c r="O6" s="3784" t="s">
        <v>3480</v>
      </c>
      <c r="P6" s="3784" t="s">
        <v>4192</v>
      </c>
      <c r="Q6" s="3784" t="s">
        <v>4191</v>
      </c>
      <c r="R6" s="3784" t="s">
        <v>4157</v>
      </c>
      <c r="S6" s="3784" t="s">
        <v>3652</v>
      </c>
      <c r="T6" s="3784" t="s">
        <v>3478</v>
      </c>
      <c r="U6" s="3784" t="s">
        <v>3478</v>
      </c>
      <c r="V6" s="3784" t="s">
        <v>3478</v>
      </c>
      <c r="W6" s="3784" t="s">
        <v>3478</v>
      </c>
      <c r="X6" s="3784">
        <v>0</v>
      </c>
      <c r="Y6" s="3784">
        <v>0</v>
      </c>
      <c r="Z6" s="3787">
        <v>44791.000497685185</v>
      </c>
      <c r="AA6" s="3787">
        <v>44811.000497685185</v>
      </c>
      <c r="AB6" s="3787">
        <v>44826.000497685185</v>
      </c>
      <c r="AC6" s="3785">
        <v>44826.000497685185</v>
      </c>
      <c r="AD6" s="3784" t="s">
        <v>4190</v>
      </c>
      <c r="AE6" s="3784" t="s">
        <v>3442</v>
      </c>
      <c r="AF6" s="3784" t="s">
        <v>4189</v>
      </c>
      <c r="AG6" s="3784" t="s">
        <v>4188</v>
      </c>
      <c r="AH6" s="3784" t="s">
        <v>3662</v>
      </c>
      <c r="AI6" s="3784">
        <v>167000</v>
      </c>
      <c r="AJ6" s="3784">
        <v>34000</v>
      </c>
      <c r="AK6" s="3784" t="s">
        <v>4154</v>
      </c>
      <c r="AL6" s="3784">
        <v>167000</v>
      </c>
      <c r="AM6" s="3784">
        <v>2286.0500000000002</v>
      </c>
      <c r="AN6" s="3784">
        <v>2286.0500000000002</v>
      </c>
      <c r="AO6" s="3784">
        <v>14933</v>
      </c>
      <c r="AP6" s="3786">
        <v>14933</v>
      </c>
      <c r="AQ6" s="3784" t="s">
        <v>3478</v>
      </c>
      <c r="AR6" s="3784" t="s">
        <v>3478</v>
      </c>
      <c r="AS6" s="3784">
        <v>0</v>
      </c>
      <c r="AT6" s="3784" t="s">
        <v>4187</v>
      </c>
      <c r="AU6" s="3784">
        <v>192050</v>
      </c>
      <c r="AV6" s="3784" t="s">
        <v>3926</v>
      </c>
      <c r="AW6" s="3784" t="s">
        <v>3480</v>
      </c>
      <c r="AX6" s="3784">
        <v>17173</v>
      </c>
      <c r="AY6" s="3784">
        <v>15</v>
      </c>
      <c r="AZ6" s="3784" t="s">
        <v>3478</v>
      </c>
    </row>
    <row r="7" spans="1:52" hidden="1">
      <c r="A7" s="3784" t="s">
        <v>4186</v>
      </c>
      <c r="B7" s="3784" t="s">
        <v>3378</v>
      </c>
      <c r="C7" s="3784" t="s">
        <v>4185</v>
      </c>
      <c r="D7" s="3784" t="s">
        <v>3608</v>
      </c>
      <c r="E7" s="3784" t="s">
        <v>3607</v>
      </c>
      <c r="F7" s="3784" t="s">
        <v>4184</v>
      </c>
      <c r="G7" s="3784" t="s">
        <v>4183</v>
      </c>
      <c r="H7" s="3784" t="s">
        <v>3438</v>
      </c>
      <c r="I7" s="3784">
        <v>32689.63</v>
      </c>
      <c r="J7" s="3784">
        <v>71917</v>
      </c>
      <c r="K7" s="3784">
        <v>2.2000000000000002</v>
      </c>
      <c r="L7" s="3784" t="s">
        <v>3439</v>
      </c>
      <c r="M7" s="3784" t="s">
        <v>3640</v>
      </c>
      <c r="N7" s="3784" t="s">
        <v>4158</v>
      </c>
      <c r="O7" s="3784" t="s">
        <v>3480</v>
      </c>
      <c r="P7" s="3784" t="s">
        <v>3478</v>
      </c>
      <c r="Q7" s="3784" t="s">
        <v>3906</v>
      </c>
      <c r="R7" s="3784" t="s">
        <v>4157</v>
      </c>
      <c r="S7" s="3784" t="s">
        <v>3652</v>
      </c>
      <c r="T7" s="3784" t="s">
        <v>3478</v>
      </c>
      <c r="U7" s="3784" t="s">
        <v>3478</v>
      </c>
      <c r="V7" s="3784" t="s">
        <v>3478</v>
      </c>
      <c r="W7" s="3784" t="s">
        <v>3478</v>
      </c>
      <c r="X7" s="3784">
        <v>0</v>
      </c>
      <c r="Y7" s="3784">
        <v>0</v>
      </c>
      <c r="Z7" s="3787">
        <v>44791.000497685185</v>
      </c>
      <c r="AA7" s="3787">
        <v>44811.000497685185</v>
      </c>
      <c r="AB7" s="3787">
        <v>44826.000497685185</v>
      </c>
      <c r="AC7" s="3785">
        <v>44827.000497685185</v>
      </c>
      <c r="AD7" s="3784" t="s">
        <v>4182</v>
      </c>
      <c r="AE7" s="3784" t="s">
        <v>3442</v>
      </c>
      <c r="AF7" s="3784" t="s">
        <v>4181</v>
      </c>
      <c r="AG7" s="3784" t="s">
        <v>4180</v>
      </c>
      <c r="AH7" s="3784" t="s">
        <v>3662</v>
      </c>
      <c r="AI7" s="3784">
        <v>294000</v>
      </c>
      <c r="AJ7" s="3784">
        <v>60000</v>
      </c>
      <c r="AK7" s="3784" t="s">
        <v>4154</v>
      </c>
      <c r="AL7" s="3784">
        <v>338100</v>
      </c>
      <c r="AM7" s="3784">
        <v>5995.79</v>
      </c>
      <c r="AN7" s="3784">
        <v>6895.15</v>
      </c>
      <c r="AO7" s="3784">
        <v>40880</v>
      </c>
      <c r="AP7" s="3786">
        <v>47013</v>
      </c>
      <c r="AQ7" s="3784" t="s">
        <v>3478</v>
      </c>
      <c r="AR7" s="3784" t="s">
        <v>3478</v>
      </c>
      <c r="AS7" s="3784">
        <v>15</v>
      </c>
      <c r="AT7" s="3784" t="s">
        <v>4153</v>
      </c>
      <c r="AU7" s="3784">
        <v>338100</v>
      </c>
      <c r="AV7" s="3784" t="s">
        <v>3962</v>
      </c>
      <c r="AW7" s="3784" t="s">
        <v>3480</v>
      </c>
      <c r="AX7" s="3784">
        <v>47013</v>
      </c>
      <c r="AY7" s="3784">
        <v>15</v>
      </c>
      <c r="AZ7" s="3784" t="s">
        <v>3478</v>
      </c>
    </row>
    <row r="8" spans="1:52">
      <c r="A8" s="3784" t="s">
        <v>4179</v>
      </c>
      <c r="B8" s="3784" t="s">
        <v>3378</v>
      </c>
      <c r="C8" s="3784" t="s">
        <v>4178</v>
      </c>
      <c r="D8" s="3784" t="s">
        <v>3608</v>
      </c>
      <c r="E8" s="3784" t="s">
        <v>3621</v>
      </c>
      <c r="F8" s="3784" t="s">
        <v>3825</v>
      </c>
      <c r="G8" s="3784" t="s">
        <v>3824</v>
      </c>
      <c r="H8" s="3784" t="s">
        <v>3455</v>
      </c>
      <c r="I8" s="3784">
        <v>27876.52</v>
      </c>
      <c r="J8" s="3784">
        <v>69691.3</v>
      </c>
      <c r="K8" s="3784">
        <v>2.5</v>
      </c>
      <c r="L8" s="3784" t="s">
        <v>3439</v>
      </c>
      <c r="M8" s="3784" t="s">
        <v>4177</v>
      </c>
      <c r="N8" s="3784" t="s">
        <v>4158</v>
      </c>
      <c r="O8" s="3784">
        <v>5.74</v>
      </c>
      <c r="P8" s="3784" t="s">
        <v>3478</v>
      </c>
      <c r="Q8" s="3784">
        <v>45</v>
      </c>
      <c r="R8" s="3784" t="s">
        <v>4157</v>
      </c>
      <c r="S8" s="3784" t="s">
        <v>3652</v>
      </c>
      <c r="T8" s="3784" t="s">
        <v>3478</v>
      </c>
      <c r="U8" s="3784" t="s">
        <v>3478</v>
      </c>
      <c r="V8" s="3784">
        <v>0</v>
      </c>
      <c r="W8" s="3784" t="s">
        <v>3478</v>
      </c>
      <c r="X8" s="3784">
        <v>0</v>
      </c>
      <c r="Y8" s="3784">
        <v>0</v>
      </c>
      <c r="Z8" s="3787">
        <v>44791.000497685185</v>
      </c>
      <c r="AA8" s="3787">
        <v>44811.000497685185</v>
      </c>
      <c r="AB8" s="3787">
        <v>44826.000497685185</v>
      </c>
      <c r="AC8" s="3785">
        <v>44826.000497685185</v>
      </c>
      <c r="AD8" s="3784" t="s">
        <v>4176</v>
      </c>
      <c r="AE8" s="3784" t="s">
        <v>3442</v>
      </c>
      <c r="AF8" s="3784" t="s">
        <v>4175</v>
      </c>
      <c r="AG8" s="3784" t="s">
        <v>4174</v>
      </c>
      <c r="AH8" s="3784" t="s">
        <v>4173</v>
      </c>
      <c r="AI8" s="3784">
        <v>250000</v>
      </c>
      <c r="AJ8" s="3784">
        <v>50000</v>
      </c>
      <c r="AK8" s="3784" t="s">
        <v>4154</v>
      </c>
      <c r="AL8" s="3784">
        <v>250000</v>
      </c>
      <c r="AM8" s="3784">
        <v>5978.75</v>
      </c>
      <c r="AN8" s="3784">
        <v>5978.75</v>
      </c>
      <c r="AO8" s="3784">
        <v>35872</v>
      </c>
      <c r="AP8" s="3786">
        <v>35872</v>
      </c>
      <c r="AQ8" s="3784" t="s">
        <v>3478</v>
      </c>
      <c r="AR8" s="3784" t="s">
        <v>3478</v>
      </c>
      <c r="AS8" s="3784">
        <v>0</v>
      </c>
      <c r="AT8" s="3784" t="s">
        <v>4172</v>
      </c>
      <c r="AU8" s="3784">
        <v>287500</v>
      </c>
      <c r="AV8" s="3784" t="s">
        <v>3926</v>
      </c>
      <c r="AW8" s="3784" t="s">
        <v>3480</v>
      </c>
      <c r="AX8" s="3784">
        <v>41253</v>
      </c>
      <c r="AY8" s="3784">
        <v>15</v>
      </c>
      <c r="AZ8" s="3784" t="s">
        <v>3478</v>
      </c>
    </row>
    <row r="9" spans="1:52" hidden="1">
      <c r="A9" s="3784" t="s">
        <v>4171</v>
      </c>
      <c r="B9" s="3784" t="s">
        <v>3378</v>
      </c>
      <c r="C9" s="3784" t="s">
        <v>4170</v>
      </c>
      <c r="D9" s="3784" t="s">
        <v>3608</v>
      </c>
      <c r="E9" s="3784" t="s">
        <v>3607</v>
      </c>
      <c r="F9" s="3784" t="s">
        <v>4166</v>
      </c>
      <c r="G9" s="3784" t="s">
        <v>4165</v>
      </c>
      <c r="H9" s="3784" t="s">
        <v>3438</v>
      </c>
      <c r="I9" s="3784">
        <v>39419.43</v>
      </c>
      <c r="J9" s="3784">
        <v>94607</v>
      </c>
      <c r="K9" s="3784">
        <v>2.4</v>
      </c>
      <c r="L9" s="3784" t="s">
        <v>3439</v>
      </c>
      <c r="M9" s="3784" t="s">
        <v>3640</v>
      </c>
      <c r="N9" s="3784" t="s">
        <v>4158</v>
      </c>
      <c r="O9" s="3784" t="s">
        <v>3480</v>
      </c>
      <c r="P9" s="3784" t="s">
        <v>3478</v>
      </c>
      <c r="Q9" s="3784" t="s">
        <v>3906</v>
      </c>
      <c r="R9" s="3784" t="s">
        <v>4157</v>
      </c>
      <c r="S9" s="3784" t="s">
        <v>3652</v>
      </c>
      <c r="T9" s="3784" t="s">
        <v>3478</v>
      </c>
      <c r="U9" s="3784" t="s">
        <v>3478</v>
      </c>
      <c r="V9" s="3784" t="s">
        <v>3478</v>
      </c>
      <c r="W9" s="3784" t="s">
        <v>3478</v>
      </c>
      <c r="X9" s="3784">
        <v>0</v>
      </c>
      <c r="Y9" s="3784">
        <v>0</v>
      </c>
      <c r="Z9" s="3787">
        <v>44791.000497685185</v>
      </c>
      <c r="AA9" s="3787">
        <v>44811.000497685185</v>
      </c>
      <c r="AB9" s="3787">
        <v>44826.000497685185</v>
      </c>
      <c r="AC9" s="3785">
        <v>44827.000497685185</v>
      </c>
      <c r="AD9" s="3784" t="s">
        <v>4169</v>
      </c>
      <c r="AE9" s="3784" t="s">
        <v>3442</v>
      </c>
      <c r="AF9" s="3784" t="s">
        <v>3626</v>
      </c>
      <c r="AG9" s="3784" t="s">
        <v>3625</v>
      </c>
      <c r="AH9" s="3784" t="s">
        <v>3624</v>
      </c>
      <c r="AI9" s="3784">
        <v>480000</v>
      </c>
      <c r="AJ9" s="3784">
        <v>96000</v>
      </c>
      <c r="AK9" s="3784" t="s">
        <v>4154</v>
      </c>
      <c r="AL9" s="3784">
        <v>497000</v>
      </c>
      <c r="AM9" s="3784">
        <v>8117.82</v>
      </c>
      <c r="AN9" s="3784">
        <v>8405.33</v>
      </c>
      <c r="AO9" s="3784">
        <v>50736</v>
      </c>
      <c r="AP9" s="3786">
        <v>52533</v>
      </c>
      <c r="AQ9" s="3784" t="s">
        <v>3478</v>
      </c>
      <c r="AR9" s="3784" t="s">
        <v>3478</v>
      </c>
      <c r="AS9" s="3784">
        <v>3.54</v>
      </c>
      <c r="AT9" s="3784" t="s">
        <v>4153</v>
      </c>
      <c r="AU9" s="3784">
        <v>552000</v>
      </c>
      <c r="AV9" s="3784" t="s">
        <v>3926</v>
      </c>
      <c r="AW9" s="3784" t="s">
        <v>3480</v>
      </c>
      <c r="AX9" s="3784">
        <v>58347</v>
      </c>
      <c r="AY9" s="3784">
        <v>15</v>
      </c>
      <c r="AZ9" s="3784" t="s">
        <v>3478</v>
      </c>
    </row>
    <row r="10" spans="1:52" hidden="1">
      <c r="A10" s="3784" t="s">
        <v>4168</v>
      </c>
      <c r="B10" s="3784" t="s">
        <v>3378</v>
      </c>
      <c r="C10" s="3784" t="s">
        <v>4167</v>
      </c>
      <c r="D10" s="3784" t="s">
        <v>3608</v>
      </c>
      <c r="E10" s="3784" t="s">
        <v>3607</v>
      </c>
      <c r="F10" s="3784" t="s">
        <v>4166</v>
      </c>
      <c r="G10" s="3784" t="s">
        <v>4165</v>
      </c>
      <c r="H10" s="3784" t="s">
        <v>3438</v>
      </c>
      <c r="I10" s="3784">
        <v>26171.64</v>
      </c>
      <c r="J10" s="3784">
        <v>68046</v>
      </c>
      <c r="K10" s="3784">
        <v>2.6</v>
      </c>
      <c r="L10" s="3784" t="s">
        <v>3439</v>
      </c>
      <c r="M10" s="3784" t="s">
        <v>3640</v>
      </c>
      <c r="N10" s="3784" t="s">
        <v>4158</v>
      </c>
      <c r="O10" s="3784" t="s">
        <v>3480</v>
      </c>
      <c r="P10" s="3784" t="s">
        <v>3478</v>
      </c>
      <c r="Q10" s="3784" t="s">
        <v>4164</v>
      </c>
      <c r="R10" s="3784" t="s">
        <v>4157</v>
      </c>
      <c r="S10" s="3784" t="s">
        <v>3652</v>
      </c>
      <c r="T10" s="3784" t="s">
        <v>3478</v>
      </c>
      <c r="U10" s="3784" t="s">
        <v>3478</v>
      </c>
      <c r="V10" s="3784" t="s">
        <v>3478</v>
      </c>
      <c r="W10" s="3784" t="s">
        <v>3478</v>
      </c>
      <c r="X10" s="3784">
        <v>0</v>
      </c>
      <c r="Y10" s="3784">
        <v>0</v>
      </c>
      <c r="Z10" s="3787">
        <v>44791.000497685185</v>
      </c>
      <c r="AA10" s="3787">
        <v>44811.000497685185</v>
      </c>
      <c r="AB10" s="3787">
        <v>44826.000497685185</v>
      </c>
      <c r="AC10" s="3785">
        <v>44827.000497685185</v>
      </c>
      <c r="AD10" s="3784" t="s">
        <v>4163</v>
      </c>
      <c r="AE10" s="3784" t="s">
        <v>3442</v>
      </c>
      <c r="AF10" s="3784" t="s">
        <v>4162</v>
      </c>
      <c r="AG10" s="3784" t="s">
        <v>3938</v>
      </c>
      <c r="AH10" s="3784" t="s">
        <v>3624</v>
      </c>
      <c r="AI10" s="3784">
        <v>366000</v>
      </c>
      <c r="AJ10" s="3784">
        <v>74000</v>
      </c>
      <c r="AK10" s="3784" t="s">
        <v>4154</v>
      </c>
      <c r="AL10" s="3784">
        <v>381000</v>
      </c>
      <c r="AM10" s="3784">
        <v>9323.07</v>
      </c>
      <c r="AN10" s="3784">
        <v>9705.16</v>
      </c>
      <c r="AO10" s="3784">
        <v>53787</v>
      </c>
      <c r="AP10" s="3786">
        <v>55992</v>
      </c>
      <c r="AQ10" s="3784" t="s">
        <v>3478</v>
      </c>
      <c r="AR10" s="3784" t="s">
        <v>3478</v>
      </c>
      <c r="AS10" s="3784">
        <v>4.0999999999999996</v>
      </c>
      <c r="AT10" s="3784" t="s">
        <v>3594</v>
      </c>
      <c r="AU10" s="3784">
        <v>420900</v>
      </c>
      <c r="AV10" s="3784" t="s">
        <v>3926</v>
      </c>
      <c r="AW10" s="3784" t="s">
        <v>3480</v>
      </c>
      <c r="AX10" s="3784">
        <v>61855</v>
      </c>
      <c r="AY10" s="3784">
        <v>15</v>
      </c>
      <c r="AZ10" s="3784" t="s">
        <v>3478</v>
      </c>
    </row>
    <row r="11" spans="1:52" hidden="1">
      <c r="A11" s="3784" t="s">
        <v>4161</v>
      </c>
      <c r="B11" s="3784" t="s">
        <v>3378</v>
      </c>
      <c r="C11" s="3784" t="s">
        <v>4160</v>
      </c>
      <c r="D11" s="3784" t="s">
        <v>3608</v>
      </c>
      <c r="E11" s="3784" t="s">
        <v>3607</v>
      </c>
      <c r="F11" s="3784" t="s">
        <v>3659</v>
      </c>
      <c r="G11" s="3784" t="s">
        <v>4159</v>
      </c>
      <c r="H11" s="3784" t="s">
        <v>3438</v>
      </c>
      <c r="I11" s="3784">
        <v>23125</v>
      </c>
      <c r="J11" s="3784">
        <v>55500</v>
      </c>
      <c r="K11" s="3784">
        <v>2.4</v>
      </c>
      <c r="L11" s="3784" t="s">
        <v>3439</v>
      </c>
      <c r="M11" s="3784" t="s">
        <v>3640</v>
      </c>
      <c r="N11" s="3784" t="s">
        <v>4158</v>
      </c>
      <c r="O11" s="3784" t="s">
        <v>3480</v>
      </c>
      <c r="P11" s="3784" t="s">
        <v>3478</v>
      </c>
      <c r="Q11" s="3784">
        <v>45</v>
      </c>
      <c r="R11" s="3784" t="s">
        <v>4157</v>
      </c>
      <c r="S11" s="3784" t="s">
        <v>4156</v>
      </c>
      <c r="T11" s="3784" t="s">
        <v>3478</v>
      </c>
      <c r="U11" s="3784" t="s">
        <v>3478</v>
      </c>
      <c r="V11" s="3784" t="s">
        <v>3478</v>
      </c>
      <c r="W11" s="3784" t="s">
        <v>3478</v>
      </c>
      <c r="X11" s="3784">
        <v>0</v>
      </c>
      <c r="Y11" s="3784">
        <v>0</v>
      </c>
      <c r="Z11" s="3787">
        <v>44791.000497685185</v>
      </c>
      <c r="AA11" s="3787">
        <v>44811.000497685185</v>
      </c>
      <c r="AB11" s="3787">
        <v>44826.000497685185</v>
      </c>
      <c r="AC11" s="3785">
        <v>44827.000497685185</v>
      </c>
      <c r="AD11" s="3784" t="s">
        <v>4155</v>
      </c>
      <c r="AE11" s="3784" t="s">
        <v>3442</v>
      </c>
      <c r="AF11" s="3784" t="s">
        <v>3992</v>
      </c>
      <c r="AG11" s="3784" t="s">
        <v>3963</v>
      </c>
      <c r="AH11" s="3784" t="s">
        <v>3662</v>
      </c>
      <c r="AI11" s="3784">
        <v>333000</v>
      </c>
      <c r="AJ11" s="3784">
        <v>67000</v>
      </c>
      <c r="AK11" s="3784" t="s">
        <v>4154</v>
      </c>
      <c r="AL11" s="3784">
        <v>382950</v>
      </c>
      <c r="AM11" s="3784">
        <v>9600</v>
      </c>
      <c r="AN11" s="3784">
        <v>11040</v>
      </c>
      <c r="AO11" s="3784">
        <v>60000</v>
      </c>
      <c r="AP11" s="3786">
        <v>69000</v>
      </c>
      <c r="AQ11" s="3784" t="s">
        <v>3478</v>
      </c>
      <c r="AR11" s="3784" t="s">
        <v>3478</v>
      </c>
      <c r="AS11" s="3784">
        <v>15</v>
      </c>
      <c r="AT11" s="3784" t="s">
        <v>4153</v>
      </c>
      <c r="AU11" s="3784">
        <v>382950</v>
      </c>
      <c r="AV11" s="3784" t="s">
        <v>3962</v>
      </c>
      <c r="AW11" s="3784" t="s">
        <v>3480</v>
      </c>
      <c r="AX11" s="3784">
        <v>69000</v>
      </c>
      <c r="AY11" s="3784">
        <v>15</v>
      </c>
      <c r="AZ11" s="3784" t="s">
        <v>3478</v>
      </c>
    </row>
    <row r="12" spans="1:52" hidden="1">
      <c r="A12" s="3784" t="s">
        <v>4152</v>
      </c>
      <c r="B12" s="3784" t="s">
        <v>3378</v>
      </c>
      <c r="C12" s="3784" t="s">
        <v>4151</v>
      </c>
      <c r="D12" s="3784" t="s">
        <v>3608</v>
      </c>
      <c r="E12" s="3784" t="s">
        <v>3607</v>
      </c>
      <c r="F12" s="3784" t="s">
        <v>4027</v>
      </c>
      <c r="G12" s="3784" t="s">
        <v>4150</v>
      </c>
      <c r="H12" s="3784" t="s">
        <v>3455</v>
      </c>
      <c r="I12" s="3784">
        <v>59541.89</v>
      </c>
      <c r="J12" s="3784">
        <v>201892</v>
      </c>
      <c r="K12" s="3784" t="s">
        <v>4149</v>
      </c>
      <c r="L12" s="3784" t="s">
        <v>3439</v>
      </c>
      <c r="M12" s="3784" t="s">
        <v>4148</v>
      </c>
      <c r="N12" s="3784" t="s">
        <v>4133</v>
      </c>
      <c r="O12" s="3784" t="s">
        <v>3480</v>
      </c>
      <c r="P12" s="3784" t="s">
        <v>3478</v>
      </c>
      <c r="Q12" s="3784" t="s">
        <v>4147</v>
      </c>
      <c r="R12" s="3784" t="s">
        <v>4087</v>
      </c>
      <c r="S12" s="3784" t="s">
        <v>3994</v>
      </c>
      <c r="T12" s="3784" t="s">
        <v>3953</v>
      </c>
      <c r="U12" s="3784" t="s">
        <v>4041</v>
      </c>
      <c r="V12" s="3784">
        <v>33188</v>
      </c>
      <c r="W12" s="3784" t="s">
        <v>3478</v>
      </c>
      <c r="X12" s="3784">
        <v>0</v>
      </c>
      <c r="Y12" s="3784">
        <v>0</v>
      </c>
      <c r="Z12" s="3787">
        <v>44670.000497685185</v>
      </c>
      <c r="AA12" s="3787">
        <v>44691.000497685185</v>
      </c>
      <c r="AB12" s="3787">
        <v>44712.000497685185</v>
      </c>
      <c r="AC12" s="3785">
        <v>44712.000497685185</v>
      </c>
      <c r="AD12" s="3784" t="s">
        <v>4146</v>
      </c>
      <c r="AE12" s="3784" t="s">
        <v>3442</v>
      </c>
      <c r="AF12" s="3784" t="s">
        <v>4085</v>
      </c>
      <c r="AG12" s="3784" t="s">
        <v>4084</v>
      </c>
      <c r="AH12" s="3784" t="s">
        <v>3624</v>
      </c>
      <c r="AI12" s="3784">
        <v>747000</v>
      </c>
      <c r="AJ12" s="3784">
        <v>150000</v>
      </c>
      <c r="AK12" s="3784" t="s">
        <v>4129</v>
      </c>
      <c r="AL12" s="3784">
        <v>747000</v>
      </c>
      <c r="AM12" s="3784">
        <v>8363.86</v>
      </c>
      <c r="AN12" s="3784">
        <v>8363.86</v>
      </c>
      <c r="AO12" s="3784">
        <v>37000</v>
      </c>
      <c r="AP12" s="3786">
        <v>37000</v>
      </c>
      <c r="AQ12" s="3784">
        <v>44279</v>
      </c>
      <c r="AR12" s="3784" t="s">
        <v>3478</v>
      </c>
      <c r="AS12" s="3784">
        <v>0</v>
      </c>
      <c r="AT12" s="3784" t="s">
        <v>3594</v>
      </c>
      <c r="AU12" s="3784">
        <v>859050</v>
      </c>
      <c r="AV12" s="3784" t="s">
        <v>3926</v>
      </c>
      <c r="AW12" s="3784" t="s">
        <v>3480</v>
      </c>
      <c r="AX12" s="3784">
        <v>42550</v>
      </c>
      <c r="AY12" s="3784">
        <v>15</v>
      </c>
      <c r="AZ12" s="3784" t="s">
        <v>3478</v>
      </c>
    </row>
    <row r="13" spans="1:52" hidden="1">
      <c r="A13" s="3784" t="s">
        <v>4145</v>
      </c>
      <c r="B13" s="3784" t="s">
        <v>3378</v>
      </c>
      <c r="C13" s="3784" t="s">
        <v>4144</v>
      </c>
      <c r="D13" s="3784" t="s">
        <v>3608</v>
      </c>
      <c r="E13" s="3784" t="s">
        <v>3607</v>
      </c>
      <c r="F13" s="3784" t="s">
        <v>3757</v>
      </c>
      <c r="G13" s="3784" t="s">
        <v>4109</v>
      </c>
      <c r="H13" s="3784" t="s">
        <v>3438</v>
      </c>
      <c r="I13" s="3784">
        <v>21200</v>
      </c>
      <c r="J13" s="3784">
        <v>59360</v>
      </c>
      <c r="K13" s="3784" t="s">
        <v>3726</v>
      </c>
      <c r="L13" s="3784" t="s">
        <v>3439</v>
      </c>
      <c r="M13" s="3784" t="s">
        <v>3640</v>
      </c>
      <c r="N13" s="3784" t="s">
        <v>4133</v>
      </c>
      <c r="O13" s="3784" t="s">
        <v>3480</v>
      </c>
      <c r="P13" s="3784" t="s">
        <v>3478</v>
      </c>
      <c r="Q13" s="3784">
        <v>80</v>
      </c>
      <c r="R13" s="3784" t="s">
        <v>4143</v>
      </c>
      <c r="S13" s="3784" t="s">
        <v>4142</v>
      </c>
      <c r="T13" s="3784" t="s">
        <v>3478</v>
      </c>
      <c r="U13" s="3784" t="s">
        <v>3478</v>
      </c>
      <c r="V13" s="3784" t="s">
        <v>3478</v>
      </c>
      <c r="W13" s="3784" t="s">
        <v>3478</v>
      </c>
      <c r="X13" s="3784">
        <v>0</v>
      </c>
      <c r="Y13" s="3784">
        <v>0</v>
      </c>
      <c r="Z13" s="3787">
        <v>44670.000497685185</v>
      </c>
      <c r="AA13" s="3787">
        <v>44691.000497685185</v>
      </c>
      <c r="AB13" s="3787">
        <v>44712.000497685185</v>
      </c>
      <c r="AC13" s="3785">
        <v>44713.000497685185</v>
      </c>
      <c r="AD13" s="3784" t="s">
        <v>4141</v>
      </c>
      <c r="AE13" s="3784" t="s">
        <v>3442</v>
      </c>
      <c r="AF13" s="3784" t="s">
        <v>4140</v>
      </c>
      <c r="AG13" s="3784" t="s">
        <v>4139</v>
      </c>
      <c r="AH13" s="3784" t="s">
        <v>4138</v>
      </c>
      <c r="AI13" s="3784">
        <v>230000</v>
      </c>
      <c r="AJ13" s="3784">
        <v>46000</v>
      </c>
      <c r="AK13" s="3784" t="s">
        <v>4129</v>
      </c>
      <c r="AL13" s="3784">
        <v>264500</v>
      </c>
      <c r="AM13" s="3784">
        <v>7232.7</v>
      </c>
      <c r="AN13" s="3784">
        <v>8317.61</v>
      </c>
      <c r="AO13" s="3784">
        <v>38747</v>
      </c>
      <c r="AP13" s="3786">
        <v>44559</v>
      </c>
      <c r="AQ13" s="3784" t="s">
        <v>3478</v>
      </c>
      <c r="AR13" s="3784" t="s">
        <v>3478</v>
      </c>
      <c r="AS13" s="3784">
        <v>15</v>
      </c>
      <c r="AT13" s="3784" t="s">
        <v>3815</v>
      </c>
      <c r="AU13" s="3784">
        <v>264500</v>
      </c>
      <c r="AV13" s="3784" t="s">
        <v>3962</v>
      </c>
      <c r="AW13" s="3784" t="s">
        <v>3480</v>
      </c>
      <c r="AX13" s="3784">
        <v>44559</v>
      </c>
      <c r="AY13" s="3784">
        <v>15</v>
      </c>
      <c r="AZ13" s="3784" t="s">
        <v>3478</v>
      </c>
    </row>
    <row r="14" spans="1:52" hidden="1">
      <c r="A14" s="3784" t="s">
        <v>4137</v>
      </c>
      <c r="B14" s="3784" t="s">
        <v>3378</v>
      </c>
      <c r="C14" s="3784" t="s">
        <v>4136</v>
      </c>
      <c r="D14" s="3784" t="s">
        <v>3608</v>
      </c>
      <c r="E14" s="3784" t="s">
        <v>3607</v>
      </c>
      <c r="F14" s="3784" t="s">
        <v>3757</v>
      </c>
      <c r="G14" s="3784" t="s">
        <v>4135</v>
      </c>
      <c r="H14" s="3784" t="s">
        <v>3438</v>
      </c>
      <c r="I14" s="3784">
        <v>43909.52</v>
      </c>
      <c r="J14" s="3784">
        <v>74646</v>
      </c>
      <c r="K14" s="3784" t="s">
        <v>4134</v>
      </c>
      <c r="L14" s="3784" t="s">
        <v>3439</v>
      </c>
      <c r="M14" s="3784" t="s">
        <v>3640</v>
      </c>
      <c r="N14" s="3784" t="s">
        <v>4133</v>
      </c>
      <c r="O14" s="3784" t="s">
        <v>3480</v>
      </c>
      <c r="P14" s="3784" t="s">
        <v>3478</v>
      </c>
      <c r="Q14" s="3784">
        <v>30</v>
      </c>
      <c r="R14" s="3784" t="s">
        <v>4050</v>
      </c>
      <c r="S14" s="3784" t="s">
        <v>3994</v>
      </c>
      <c r="T14" s="3784" t="s">
        <v>3478</v>
      </c>
      <c r="U14" s="3784" t="s">
        <v>3478</v>
      </c>
      <c r="V14" s="3784" t="s">
        <v>3478</v>
      </c>
      <c r="W14" s="3784" t="s">
        <v>3478</v>
      </c>
      <c r="X14" s="3784">
        <v>0</v>
      </c>
      <c r="Y14" s="3784">
        <v>0</v>
      </c>
      <c r="Z14" s="3787">
        <v>44670.000497685185</v>
      </c>
      <c r="AA14" s="3787">
        <v>44691.000497685185</v>
      </c>
      <c r="AB14" s="3787">
        <v>44712.000497685185</v>
      </c>
      <c r="AC14" s="3785">
        <v>44712.000497685185</v>
      </c>
      <c r="AD14" s="3784" t="s">
        <v>4132</v>
      </c>
      <c r="AE14" s="3784" t="s">
        <v>3442</v>
      </c>
      <c r="AF14" s="3784" t="s">
        <v>4131</v>
      </c>
      <c r="AG14" s="3784" t="s">
        <v>4130</v>
      </c>
      <c r="AH14" s="3784" t="s">
        <v>3828</v>
      </c>
      <c r="AI14" s="3784">
        <v>244000</v>
      </c>
      <c r="AJ14" s="3784">
        <v>49000</v>
      </c>
      <c r="AK14" s="3784" t="s">
        <v>4129</v>
      </c>
      <c r="AL14" s="3784">
        <v>244000</v>
      </c>
      <c r="AM14" s="3784">
        <v>3704.59</v>
      </c>
      <c r="AN14" s="3784">
        <v>3704.59</v>
      </c>
      <c r="AO14" s="3784">
        <v>32688</v>
      </c>
      <c r="AP14" s="3786">
        <v>32688</v>
      </c>
      <c r="AQ14" s="3784" t="s">
        <v>3478</v>
      </c>
      <c r="AR14" s="3784" t="s">
        <v>3478</v>
      </c>
      <c r="AS14" s="3784">
        <v>0</v>
      </c>
      <c r="AT14" s="3784" t="s">
        <v>3815</v>
      </c>
      <c r="AU14" s="3784">
        <v>280600</v>
      </c>
      <c r="AV14" s="3784" t="s">
        <v>3926</v>
      </c>
      <c r="AW14" s="3784" t="s">
        <v>3480</v>
      </c>
      <c r="AX14" s="3784">
        <v>37591</v>
      </c>
      <c r="AY14" s="3784">
        <v>15</v>
      </c>
      <c r="AZ14" s="3784" t="s">
        <v>3478</v>
      </c>
    </row>
    <row r="15" spans="1:52">
      <c r="A15" s="3784" t="s">
        <v>4128</v>
      </c>
      <c r="B15" s="3784" t="s">
        <v>3378</v>
      </c>
      <c r="C15" s="3784" t="s">
        <v>4127</v>
      </c>
      <c r="D15" s="3784" t="s">
        <v>3608</v>
      </c>
      <c r="E15" s="3784" t="s">
        <v>3621</v>
      </c>
      <c r="F15" s="3784" t="s">
        <v>3728</v>
      </c>
      <c r="G15" s="3784" t="s">
        <v>4126</v>
      </c>
      <c r="H15" s="3784" t="s">
        <v>3438</v>
      </c>
      <c r="I15" s="3784">
        <v>22115.200000000001</v>
      </c>
      <c r="J15" s="3784">
        <v>44230.400000000001</v>
      </c>
      <c r="K15" s="3784">
        <v>2</v>
      </c>
      <c r="L15" s="3784" t="s">
        <v>3439</v>
      </c>
      <c r="M15" s="3784" t="s">
        <v>3640</v>
      </c>
      <c r="N15" s="3784" t="s">
        <v>4078</v>
      </c>
      <c r="O15" s="3784" t="s">
        <v>3480</v>
      </c>
      <c r="P15" s="3784">
        <v>0.3</v>
      </c>
      <c r="Q15" s="3784">
        <v>45</v>
      </c>
      <c r="R15" s="3784" t="s">
        <v>4125</v>
      </c>
      <c r="S15" s="3784" t="s">
        <v>3820</v>
      </c>
      <c r="T15" s="3784" t="s">
        <v>3478</v>
      </c>
      <c r="U15" s="3784" t="s">
        <v>3478</v>
      </c>
      <c r="V15" s="3784">
        <v>0</v>
      </c>
      <c r="W15" s="3784" t="s">
        <v>3478</v>
      </c>
      <c r="X15" s="3784">
        <v>0</v>
      </c>
      <c r="Y15" s="3784">
        <v>0</v>
      </c>
      <c r="Z15" s="3787">
        <v>44568.000497685185</v>
      </c>
      <c r="AA15" s="3787">
        <v>44589.000497685185</v>
      </c>
      <c r="AB15" s="3787">
        <v>44608.000497685185</v>
      </c>
      <c r="AC15" s="3785">
        <v>44609.000497685185</v>
      </c>
      <c r="AD15" s="3784" t="s">
        <v>4124</v>
      </c>
      <c r="AE15" s="3784" t="s">
        <v>3442</v>
      </c>
      <c r="AF15" s="3784" t="s">
        <v>4123</v>
      </c>
      <c r="AG15" s="3784" t="s">
        <v>4122</v>
      </c>
      <c r="AH15" s="3784" t="s">
        <v>3595</v>
      </c>
      <c r="AI15" s="3784">
        <v>146000</v>
      </c>
      <c r="AJ15" s="3784">
        <v>30000</v>
      </c>
      <c r="AK15" s="3784" t="s">
        <v>4071</v>
      </c>
      <c r="AL15" s="3784">
        <v>147600</v>
      </c>
      <c r="AM15" s="3784">
        <v>4401.2</v>
      </c>
      <c r="AN15" s="3784">
        <v>4449.43</v>
      </c>
      <c r="AO15" s="3784">
        <v>33009</v>
      </c>
      <c r="AP15" s="3786">
        <v>33371</v>
      </c>
      <c r="AQ15" s="3784" t="s">
        <v>3478</v>
      </c>
      <c r="AR15" s="3784" t="s">
        <v>3478</v>
      </c>
      <c r="AS15" s="3784">
        <v>1.1000000000000001</v>
      </c>
      <c r="AT15" s="3784" t="s">
        <v>3999</v>
      </c>
      <c r="AU15" s="3784">
        <v>153300</v>
      </c>
      <c r="AV15" s="3784" t="s">
        <v>3926</v>
      </c>
      <c r="AW15" s="3784">
        <v>58000</v>
      </c>
      <c r="AX15" s="3784">
        <v>34659</v>
      </c>
      <c r="AY15" s="3784">
        <v>5</v>
      </c>
      <c r="AZ15" s="3784">
        <v>24991</v>
      </c>
    </row>
    <row r="16" spans="1:52" hidden="1">
      <c r="A16" s="3784" t="s">
        <v>4121</v>
      </c>
      <c r="B16" s="3784" t="s">
        <v>3378</v>
      </c>
      <c r="C16" s="3784" t="s">
        <v>4120</v>
      </c>
      <c r="D16" s="3784" t="s">
        <v>3608</v>
      </c>
      <c r="E16" s="3784" t="s">
        <v>3747</v>
      </c>
      <c r="F16" s="3784" t="s">
        <v>3746</v>
      </c>
      <c r="G16" s="3784" t="s">
        <v>3745</v>
      </c>
      <c r="H16" s="3784" t="s">
        <v>3438</v>
      </c>
      <c r="I16" s="3784">
        <v>32057.19</v>
      </c>
      <c r="J16" s="3784">
        <v>51292</v>
      </c>
      <c r="K16" s="3784">
        <v>1.6</v>
      </c>
      <c r="L16" s="3784" t="s">
        <v>3439</v>
      </c>
      <c r="M16" s="3784" t="s">
        <v>3640</v>
      </c>
      <c r="N16" s="3784" t="s">
        <v>4078</v>
      </c>
      <c r="O16" s="3784" t="s">
        <v>3480</v>
      </c>
      <c r="P16" s="3784">
        <v>0.3</v>
      </c>
      <c r="Q16" s="3784">
        <v>18</v>
      </c>
      <c r="R16" s="3784" t="s">
        <v>4050</v>
      </c>
      <c r="S16" s="3784" t="s">
        <v>3994</v>
      </c>
      <c r="T16" s="3784" t="s">
        <v>3478</v>
      </c>
      <c r="U16" s="3784" t="s">
        <v>3478</v>
      </c>
      <c r="V16" s="3784">
        <v>0</v>
      </c>
      <c r="W16" s="3784">
        <v>0</v>
      </c>
      <c r="X16" s="3784">
        <v>0</v>
      </c>
      <c r="Y16" s="3784">
        <v>0</v>
      </c>
      <c r="Z16" s="3787">
        <v>44568.000497685185</v>
      </c>
      <c r="AA16" s="3787">
        <v>44589.000497685185</v>
      </c>
      <c r="AB16" s="3787">
        <v>44608.000497685185</v>
      </c>
      <c r="AC16" s="3785">
        <v>44608.000497685185</v>
      </c>
      <c r="AD16" s="3784" t="s">
        <v>4119</v>
      </c>
      <c r="AE16" s="3784" t="s">
        <v>3442</v>
      </c>
      <c r="AF16" s="3784" t="s">
        <v>4011</v>
      </c>
      <c r="AG16" s="3784" t="s">
        <v>3852</v>
      </c>
      <c r="AH16" s="3784" t="s">
        <v>3624</v>
      </c>
      <c r="AI16" s="3784">
        <v>81000</v>
      </c>
      <c r="AJ16" s="3784">
        <v>17000</v>
      </c>
      <c r="AK16" s="3784" t="s">
        <v>4071</v>
      </c>
      <c r="AL16" s="3784">
        <v>81000</v>
      </c>
      <c r="AM16" s="3784">
        <v>1684.49</v>
      </c>
      <c r="AN16" s="3784">
        <v>1684.49</v>
      </c>
      <c r="AO16" s="3784">
        <v>15792</v>
      </c>
      <c r="AP16" s="3786">
        <v>15792</v>
      </c>
      <c r="AQ16" s="3784" t="s">
        <v>3478</v>
      </c>
      <c r="AR16" s="3784" t="s">
        <v>3478</v>
      </c>
      <c r="AS16" s="3784">
        <v>0</v>
      </c>
      <c r="AT16" s="3784" t="s">
        <v>3999</v>
      </c>
      <c r="AU16" s="3784">
        <v>93150</v>
      </c>
      <c r="AV16" s="3784" t="s">
        <v>3926</v>
      </c>
      <c r="AW16" s="3784">
        <v>45000</v>
      </c>
      <c r="AX16" s="3784">
        <v>18161</v>
      </c>
      <c r="AY16" s="3784">
        <v>15</v>
      </c>
      <c r="AZ16" s="3784">
        <v>29208</v>
      </c>
    </row>
    <row r="17" spans="1:52">
      <c r="A17" s="3784" t="s">
        <v>4118</v>
      </c>
      <c r="B17" s="3784" t="s">
        <v>3378</v>
      </c>
      <c r="C17" s="3784" t="s">
        <v>4117</v>
      </c>
      <c r="D17" s="3784" t="s">
        <v>3608</v>
      </c>
      <c r="E17" s="3784" t="s">
        <v>3621</v>
      </c>
      <c r="F17" s="3784" t="s">
        <v>4116</v>
      </c>
      <c r="G17" s="3784" t="s">
        <v>3709</v>
      </c>
      <c r="H17" s="3784" t="s">
        <v>3438</v>
      </c>
      <c r="I17" s="3784">
        <v>23519.8</v>
      </c>
      <c r="J17" s="3784">
        <v>58799.5</v>
      </c>
      <c r="K17" s="3784">
        <v>2.5</v>
      </c>
      <c r="L17" s="3784" t="s">
        <v>3439</v>
      </c>
      <c r="M17" s="3784" t="s">
        <v>3640</v>
      </c>
      <c r="N17" s="3784" t="s">
        <v>4078</v>
      </c>
      <c r="O17" s="3784">
        <v>0</v>
      </c>
      <c r="P17" s="3784" t="s">
        <v>3478</v>
      </c>
      <c r="Q17" s="3784">
        <v>60</v>
      </c>
      <c r="R17" s="3784" t="s">
        <v>4115</v>
      </c>
      <c r="S17" s="3784" t="s">
        <v>3994</v>
      </c>
      <c r="T17" s="3784" t="s">
        <v>3478</v>
      </c>
      <c r="U17" s="3784" t="s">
        <v>3478</v>
      </c>
      <c r="V17" s="3784" t="s">
        <v>3478</v>
      </c>
      <c r="W17" s="3784">
        <v>0</v>
      </c>
      <c r="X17" s="3784">
        <v>0</v>
      </c>
      <c r="Y17" s="3784">
        <v>0</v>
      </c>
      <c r="Z17" s="3787">
        <v>44568.000497685185</v>
      </c>
      <c r="AA17" s="3787">
        <v>44589.000497685185</v>
      </c>
      <c r="AB17" s="3787">
        <v>44608.000497685185</v>
      </c>
      <c r="AC17" s="3785">
        <v>44609.000497685185</v>
      </c>
      <c r="AD17" s="3784" t="s">
        <v>4114</v>
      </c>
      <c r="AE17" s="3784" t="s">
        <v>3442</v>
      </c>
      <c r="AF17" s="3784" t="s">
        <v>4113</v>
      </c>
      <c r="AG17" s="3784" t="s">
        <v>3625</v>
      </c>
      <c r="AH17" s="3784" t="s">
        <v>3624</v>
      </c>
      <c r="AI17" s="3784">
        <v>223000</v>
      </c>
      <c r="AJ17" s="3784">
        <v>45000</v>
      </c>
      <c r="AK17" s="3784" t="s">
        <v>4071</v>
      </c>
      <c r="AL17" s="3784">
        <v>248000</v>
      </c>
      <c r="AM17" s="3784">
        <v>6320.92</v>
      </c>
      <c r="AN17" s="3784">
        <v>7029.54</v>
      </c>
      <c r="AO17" s="3784">
        <v>37925</v>
      </c>
      <c r="AP17" s="3786">
        <v>42177</v>
      </c>
      <c r="AQ17" s="3784" t="s">
        <v>3478</v>
      </c>
      <c r="AR17" s="3784" t="s">
        <v>3478</v>
      </c>
      <c r="AS17" s="3784">
        <v>11.21</v>
      </c>
      <c r="AT17" s="3784" t="s">
        <v>3999</v>
      </c>
      <c r="AU17" s="3784">
        <v>256450</v>
      </c>
      <c r="AV17" s="3784" t="s">
        <v>3926</v>
      </c>
      <c r="AW17" s="3784">
        <v>73000</v>
      </c>
      <c r="AX17" s="3784">
        <v>43614</v>
      </c>
      <c r="AY17" s="3784">
        <v>15</v>
      </c>
      <c r="AZ17" s="3784">
        <v>35075</v>
      </c>
    </row>
    <row r="18" spans="1:52" hidden="1">
      <c r="A18" s="3784" t="s">
        <v>4112</v>
      </c>
      <c r="B18" s="3784" t="s">
        <v>3378</v>
      </c>
      <c r="C18" s="3784" t="s">
        <v>4111</v>
      </c>
      <c r="D18" s="3784" t="s">
        <v>3608</v>
      </c>
      <c r="E18" s="3784" t="s">
        <v>3607</v>
      </c>
      <c r="F18" s="3784" t="s">
        <v>4110</v>
      </c>
      <c r="G18" s="3784" t="s">
        <v>4109</v>
      </c>
      <c r="H18" s="3784" t="s">
        <v>3455</v>
      </c>
      <c r="I18" s="3784">
        <v>47200</v>
      </c>
      <c r="J18" s="3784">
        <v>119500</v>
      </c>
      <c r="K18" s="3784" t="s">
        <v>4108</v>
      </c>
      <c r="L18" s="3784" t="s">
        <v>3439</v>
      </c>
      <c r="M18" s="3784" t="s">
        <v>4107</v>
      </c>
      <c r="N18" s="3784" t="s">
        <v>4078</v>
      </c>
      <c r="O18" s="3784" t="s">
        <v>3480</v>
      </c>
      <c r="P18" s="3784" t="s">
        <v>3478</v>
      </c>
      <c r="Q18" s="3784" t="s">
        <v>4106</v>
      </c>
      <c r="R18" s="3784" t="s">
        <v>4105</v>
      </c>
      <c r="S18" s="3784" t="s">
        <v>3994</v>
      </c>
      <c r="T18" s="3784" t="s">
        <v>4014</v>
      </c>
      <c r="U18" s="3784" t="s">
        <v>4013</v>
      </c>
      <c r="V18" s="3784" t="s">
        <v>3478</v>
      </c>
      <c r="W18" s="3784" t="s">
        <v>3478</v>
      </c>
      <c r="X18" s="3784">
        <v>0</v>
      </c>
      <c r="Y18" s="3784">
        <v>0</v>
      </c>
      <c r="Z18" s="3787">
        <v>44568.000497685185</v>
      </c>
      <c r="AA18" s="3787">
        <v>44589.000497685185</v>
      </c>
      <c r="AB18" s="3787">
        <v>44608.000497685185</v>
      </c>
      <c r="AC18" s="3785">
        <v>44608.000497685185</v>
      </c>
      <c r="AD18" s="3784" t="s">
        <v>4104</v>
      </c>
      <c r="AE18" s="3784" t="s">
        <v>3442</v>
      </c>
      <c r="AF18" s="3784" t="s">
        <v>4103</v>
      </c>
      <c r="AG18" s="3784" t="s">
        <v>4001</v>
      </c>
      <c r="AH18" s="3784" t="s">
        <v>3662</v>
      </c>
      <c r="AI18" s="3784">
        <v>263000</v>
      </c>
      <c r="AJ18" s="3784">
        <v>53000</v>
      </c>
      <c r="AK18" s="3784" t="s">
        <v>4071</v>
      </c>
      <c r="AL18" s="3784">
        <v>263000</v>
      </c>
      <c r="AM18" s="3784">
        <v>3714.69</v>
      </c>
      <c r="AN18" s="3784">
        <v>3714.69</v>
      </c>
      <c r="AO18" s="3784">
        <v>22008</v>
      </c>
      <c r="AP18" s="3786">
        <v>22008</v>
      </c>
      <c r="AQ18" s="3784" t="s">
        <v>3478</v>
      </c>
      <c r="AR18" s="3784" t="s">
        <v>3478</v>
      </c>
      <c r="AS18" s="3784">
        <v>0</v>
      </c>
      <c r="AT18" s="3784" t="s">
        <v>4102</v>
      </c>
      <c r="AU18" s="3784">
        <v>302450</v>
      </c>
      <c r="AV18" s="3784" t="s">
        <v>3926</v>
      </c>
      <c r="AW18" s="3784">
        <v>85000</v>
      </c>
      <c r="AX18" s="3784">
        <v>25310</v>
      </c>
      <c r="AY18" s="3784">
        <v>15</v>
      </c>
      <c r="AZ18" s="3784">
        <v>62992</v>
      </c>
    </row>
    <row r="19" spans="1:52">
      <c r="A19" s="3784" t="s">
        <v>4101</v>
      </c>
      <c r="B19" s="3784" t="s">
        <v>3378</v>
      </c>
      <c r="C19" s="3784" t="s">
        <v>4100</v>
      </c>
      <c r="D19" s="3784" t="s">
        <v>3608</v>
      </c>
      <c r="E19" s="3784" t="s">
        <v>3621</v>
      </c>
      <c r="F19" s="3784" t="s">
        <v>3620</v>
      </c>
      <c r="G19" s="3784" t="s">
        <v>3718</v>
      </c>
      <c r="H19" s="3784" t="s">
        <v>3455</v>
      </c>
      <c r="I19" s="3784">
        <v>78176.460000000006</v>
      </c>
      <c r="J19" s="3784">
        <v>178342.9</v>
      </c>
      <c r="K19" s="3784" t="s">
        <v>4099</v>
      </c>
      <c r="L19" s="3784" t="s">
        <v>3439</v>
      </c>
      <c r="M19" s="3784" t="s">
        <v>4098</v>
      </c>
      <c r="N19" s="3784" t="s">
        <v>4078</v>
      </c>
      <c r="O19" s="3784">
        <v>0</v>
      </c>
      <c r="P19" s="3784">
        <v>0.3</v>
      </c>
      <c r="Q19" s="3784" t="s">
        <v>4097</v>
      </c>
      <c r="R19" s="3784" t="s">
        <v>4075</v>
      </c>
      <c r="S19" s="3784" t="s">
        <v>3994</v>
      </c>
      <c r="T19" s="3784" t="s">
        <v>3478</v>
      </c>
      <c r="U19" s="3784" t="s">
        <v>3478</v>
      </c>
      <c r="V19" s="3784" t="s">
        <v>3478</v>
      </c>
      <c r="W19" s="3784">
        <v>0</v>
      </c>
      <c r="X19" s="3784">
        <v>0</v>
      </c>
      <c r="Y19" s="3784">
        <v>0</v>
      </c>
      <c r="Z19" s="3787">
        <v>44568.000497685185</v>
      </c>
      <c r="AA19" s="3787">
        <v>44589.000497685185</v>
      </c>
      <c r="AB19" s="3787">
        <v>44608.000497685185</v>
      </c>
      <c r="AC19" s="3785">
        <v>44608.000497685185</v>
      </c>
      <c r="AD19" s="3784" t="s">
        <v>4096</v>
      </c>
      <c r="AE19" s="3784" t="s">
        <v>3442</v>
      </c>
      <c r="AF19" s="3784" t="s">
        <v>4095</v>
      </c>
      <c r="AG19" s="3784" t="s">
        <v>4094</v>
      </c>
      <c r="AH19" s="3784" t="s">
        <v>3798</v>
      </c>
      <c r="AI19" s="3784">
        <v>482000</v>
      </c>
      <c r="AJ19" s="3784">
        <v>97000</v>
      </c>
      <c r="AK19" s="3784" t="s">
        <v>4071</v>
      </c>
      <c r="AL19" s="3784">
        <v>482000</v>
      </c>
      <c r="AM19" s="3784">
        <v>4110.3599999999997</v>
      </c>
      <c r="AN19" s="3784">
        <v>4110.3599999999997</v>
      </c>
      <c r="AO19" s="3784">
        <v>27027</v>
      </c>
      <c r="AP19" s="3786">
        <v>27027</v>
      </c>
      <c r="AQ19" s="3784" t="s">
        <v>3478</v>
      </c>
      <c r="AR19" s="3784" t="s">
        <v>3478</v>
      </c>
      <c r="AS19" s="3784">
        <v>0</v>
      </c>
      <c r="AT19" s="3784" t="s">
        <v>4093</v>
      </c>
      <c r="AU19" s="3784">
        <v>554300</v>
      </c>
      <c r="AV19" s="3784" t="s">
        <v>3926</v>
      </c>
      <c r="AW19" s="3784">
        <v>59000</v>
      </c>
      <c r="AX19" s="3784">
        <v>31081</v>
      </c>
      <c r="AY19" s="3784">
        <v>15</v>
      </c>
      <c r="AZ19" s="3784">
        <v>31973</v>
      </c>
    </row>
    <row r="20" spans="1:52" hidden="1">
      <c r="A20" s="3784" t="s">
        <v>4092</v>
      </c>
      <c r="B20" s="3784" t="s">
        <v>3378</v>
      </c>
      <c r="C20" s="3784" t="s">
        <v>4091</v>
      </c>
      <c r="D20" s="3784" t="s">
        <v>3608</v>
      </c>
      <c r="E20" s="3784" t="s">
        <v>3607</v>
      </c>
      <c r="F20" s="3784" t="s">
        <v>4027</v>
      </c>
      <c r="G20" s="3784" t="s">
        <v>4090</v>
      </c>
      <c r="H20" s="3784" t="s">
        <v>3455</v>
      </c>
      <c r="I20" s="3784">
        <v>33500</v>
      </c>
      <c r="J20" s="3784">
        <v>85400</v>
      </c>
      <c r="K20" s="3784" t="s">
        <v>4089</v>
      </c>
      <c r="L20" s="3784" t="s">
        <v>3439</v>
      </c>
      <c r="M20" s="3784" t="s">
        <v>3603</v>
      </c>
      <c r="N20" s="3784" t="s">
        <v>4078</v>
      </c>
      <c r="O20" s="3784" t="s">
        <v>3480</v>
      </c>
      <c r="P20" s="3784" t="s">
        <v>3478</v>
      </c>
      <c r="Q20" s="3784" t="s">
        <v>4088</v>
      </c>
      <c r="R20" s="3784" t="s">
        <v>4087</v>
      </c>
      <c r="S20" s="3784" t="s">
        <v>3994</v>
      </c>
      <c r="T20" s="3784" t="s">
        <v>3478</v>
      </c>
      <c r="U20" s="3784" t="s">
        <v>3478</v>
      </c>
      <c r="V20" s="3784" t="s">
        <v>3478</v>
      </c>
      <c r="W20" s="3784" t="s">
        <v>3478</v>
      </c>
      <c r="X20" s="3784">
        <v>0</v>
      </c>
      <c r="Y20" s="3784">
        <v>0</v>
      </c>
      <c r="Z20" s="3787">
        <v>44568.000497685185</v>
      </c>
      <c r="AA20" s="3787">
        <v>44589.000497685185</v>
      </c>
      <c r="AB20" s="3787">
        <v>44608.000497685185</v>
      </c>
      <c r="AC20" s="3785">
        <v>44609.000497685185</v>
      </c>
      <c r="AD20" s="3784" t="s">
        <v>4086</v>
      </c>
      <c r="AE20" s="3784" t="s">
        <v>3442</v>
      </c>
      <c r="AF20" s="3784" t="s">
        <v>4085</v>
      </c>
      <c r="AG20" s="3784" t="s">
        <v>4084</v>
      </c>
      <c r="AH20" s="3784" t="s">
        <v>3624</v>
      </c>
      <c r="AI20" s="3784">
        <v>544000</v>
      </c>
      <c r="AJ20" s="3784">
        <v>109000</v>
      </c>
      <c r="AK20" s="3784" t="s">
        <v>4071</v>
      </c>
      <c r="AL20" s="3784">
        <v>571200</v>
      </c>
      <c r="AM20" s="3784">
        <v>10825.87</v>
      </c>
      <c r="AN20" s="3784">
        <v>11367.16</v>
      </c>
      <c r="AO20" s="3784">
        <v>63700</v>
      </c>
      <c r="AP20" s="3786">
        <v>66885</v>
      </c>
      <c r="AQ20" s="3784" t="s">
        <v>3478</v>
      </c>
      <c r="AR20" s="3784" t="s">
        <v>3478</v>
      </c>
      <c r="AS20" s="3784">
        <v>5</v>
      </c>
      <c r="AT20" s="3784" t="s">
        <v>4083</v>
      </c>
      <c r="AU20" s="3784">
        <v>571200</v>
      </c>
      <c r="AV20" s="3784" t="s">
        <v>3962</v>
      </c>
      <c r="AW20" s="3784">
        <v>109000</v>
      </c>
      <c r="AX20" s="3784">
        <v>66885</v>
      </c>
      <c r="AY20" s="3784">
        <v>5</v>
      </c>
      <c r="AZ20" s="3784">
        <v>45300</v>
      </c>
    </row>
    <row r="21" spans="1:52">
      <c r="A21" s="3784" t="s">
        <v>4082</v>
      </c>
      <c r="B21" s="3784" t="s">
        <v>3378</v>
      </c>
      <c r="C21" s="3784" t="s">
        <v>4081</v>
      </c>
      <c r="D21" s="3784" t="s">
        <v>3608</v>
      </c>
      <c r="E21" s="3784" t="s">
        <v>3621</v>
      </c>
      <c r="F21" s="3784" t="s">
        <v>3825</v>
      </c>
      <c r="G21" s="3784" t="s">
        <v>3824</v>
      </c>
      <c r="H21" s="3784" t="s">
        <v>3455</v>
      </c>
      <c r="I21" s="3784">
        <v>104108.28</v>
      </c>
      <c r="J21" s="3784">
        <v>211367.4</v>
      </c>
      <c r="K21" s="3784" t="s">
        <v>4080</v>
      </c>
      <c r="L21" s="3784" t="s">
        <v>3439</v>
      </c>
      <c r="M21" s="3784" t="s">
        <v>4079</v>
      </c>
      <c r="N21" s="3784" t="s">
        <v>4078</v>
      </c>
      <c r="O21" s="3784" t="s">
        <v>3480</v>
      </c>
      <c r="P21" s="3784" t="s">
        <v>4077</v>
      </c>
      <c r="Q21" s="3784" t="s">
        <v>4076</v>
      </c>
      <c r="R21" s="3784" t="s">
        <v>4075</v>
      </c>
      <c r="S21" s="3784" t="s">
        <v>3994</v>
      </c>
      <c r="T21" s="3784" t="s">
        <v>3478</v>
      </c>
      <c r="U21" s="3784" t="s">
        <v>3478</v>
      </c>
      <c r="V21" s="3784">
        <v>0</v>
      </c>
      <c r="W21" s="3784">
        <v>0</v>
      </c>
      <c r="X21" s="3784">
        <v>0</v>
      </c>
      <c r="Y21" s="3784">
        <v>0</v>
      </c>
      <c r="Z21" s="3787">
        <v>44568.000497685185</v>
      </c>
      <c r="AA21" s="3787">
        <v>44589.000497685185</v>
      </c>
      <c r="AB21" s="3787">
        <v>44608.000497685185</v>
      </c>
      <c r="AC21" s="3785">
        <v>44608.000497685185</v>
      </c>
      <c r="AD21" s="3784" t="s">
        <v>4074</v>
      </c>
      <c r="AE21" s="3784" t="s">
        <v>3442</v>
      </c>
      <c r="AF21" s="3784" t="s">
        <v>4073</v>
      </c>
      <c r="AG21" s="3784" t="s">
        <v>4072</v>
      </c>
      <c r="AH21" s="3784" t="s">
        <v>3702</v>
      </c>
      <c r="AI21" s="3784">
        <v>357000</v>
      </c>
      <c r="AJ21" s="3784">
        <v>72000</v>
      </c>
      <c r="AK21" s="3784" t="s">
        <v>4071</v>
      </c>
      <c r="AL21" s="3784">
        <v>357000</v>
      </c>
      <c r="AM21" s="3784">
        <v>2286.08</v>
      </c>
      <c r="AN21" s="3784">
        <v>2286.08</v>
      </c>
      <c r="AO21" s="3784">
        <v>16890</v>
      </c>
      <c r="AP21" s="3786">
        <v>16890</v>
      </c>
      <c r="AQ21" s="3784" t="s">
        <v>3478</v>
      </c>
      <c r="AR21" s="3784" t="s">
        <v>3478</v>
      </c>
      <c r="AS21" s="3784">
        <v>0</v>
      </c>
      <c r="AT21" s="3784" t="s">
        <v>4070</v>
      </c>
      <c r="AU21" s="3784">
        <v>410550</v>
      </c>
      <c r="AV21" s="3784" t="s">
        <v>3926</v>
      </c>
      <c r="AW21" s="3784">
        <v>66000</v>
      </c>
      <c r="AX21" s="3784">
        <v>19424</v>
      </c>
      <c r="AY21" s="3784">
        <v>15</v>
      </c>
      <c r="AZ21" s="3784">
        <v>49110</v>
      </c>
    </row>
    <row r="22" spans="1:52" hidden="1">
      <c r="A22" s="3784" t="s">
        <v>4069</v>
      </c>
      <c r="B22" s="3784" t="s">
        <v>3378</v>
      </c>
      <c r="C22" s="3784" t="s">
        <v>4068</v>
      </c>
      <c r="D22" s="3784" t="s">
        <v>3608</v>
      </c>
      <c r="E22" s="3784" t="s">
        <v>3747</v>
      </c>
      <c r="F22" s="3784" t="s">
        <v>3746</v>
      </c>
      <c r="G22" s="3784" t="s">
        <v>4067</v>
      </c>
      <c r="H22" s="3784" t="s">
        <v>3438</v>
      </c>
      <c r="I22" s="3784">
        <v>45509.77</v>
      </c>
      <c r="J22" s="3784">
        <v>113774</v>
      </c>
      <c r="K22" s="3784">
        <v>2.5</v>
      </c>
      <c r="L22" s="3784" t="s">
        <v>3439</v>
      </c>
      <c r="M22" s="3784" t="s">
        <v>3640</v>
      </c>
      <c r="N22" s="3784" t="s">
        <v>4066</v>
      </c>
      <c r="O22" s="3784" t="s">
        <v>3480</v>
      </c>
      <c r="P22" s="3784">
        <v>0.25</v>
      </c>
      <c r="Q22" s="3784">
        <v>45</v>
      </c>
      <c r="R22" s="3784" t="s">
        <v>4050</v>
      </c>
      <c r="S22" s="3784" t="s">
        <v>4004</v>
      </c>
      <c r="T22" s="3784" t="s">
        <v>4065</v>
      </c>
      <c r="U22" s="3784" t="s">
        <v>4013</v>
      </c>
      <c r="V22" s="3784" t="s">
        <v>3478</v>
      </c>
      <c r="W22" s="3784" t="s">
        <v>3478</v>
      </c>
      <c r="X22" s="3784">
        <v>0</v>
      </c>
      <c r="Y22" s="3784">
        <v>0</v>
      </c>
      <c r="Z22" s="3787">
        <v>44519.000497685185</v>
      </c>
      <c r="AA22" s="3787">
        <v>44540.000497685185</v>
      </c>
      <c r="AB22" s="3787">
        <v>44554.000497685185</v>
      </c>
      <c r="AC22" s="3785">
        <v>44557.000497685185</v>
      </c>
      <c r="AD22" s="3784" t="s">
        <v>4064</v>
      </c>
      <c r="AE22" s="3784" t="s">
        <v>3442</v>
      </c>
      <c r="AF22" s="3784" t="s">
        <v>4011</v>
      </c>
      <c r="AG22" s="3784" t="s">
        <v>3852</v>
      </c>
      <c r="AH22" s="3784" t="s">
        <v>3624</v>
      </c>
      <c r="AI22" s="3784">
        <v>162000</v>
      </c>
      <c r="AJ22" s="3784">
        <v>33000</v>
      </c>
      <c r="AK22" s="3784" t="s">
        <v>4063</v>
      </c>
      <c r="AL22" s="3784">
        <v>186300</v>
      </c>
      <c r="AM22" s="3784">
        <v>2373.12</v>
      </c>
      <c r="AN22" s="3784">
        <v>2729.08</v>
      </c>
      <c r="AO22" s="3784">
        <v>14239</v>
      </c>
      <c r="AP22" s="3786">
        <v>16375</v>
      </c>
      <c r="AQ22" s="3784" t="s">
        <v>3478</v>
      </c>
      <c r="AR22" s="3784" t="s">
        <v>3478</v>
      </c>
      <c r="AS22" s="3784">
        <v>15</v>
      </c>
      <c r="AT22" s="3784" t="s">
        <v>4062</v>
      </c>
      <c r="AU22" s="3784">
        <v>186300</v>
      </c>
      <c r="AV22" s="3784" t="s">
        <v>3962</v>
      </c>
      <c r="AW22" s="3784">
        <v>45000</v>
      </c>
      <c r="AX22" s="3784">
        <v>16375</v>
      </c>
      <c r="AY22" s="3784">
        <v>15</v>
      </c>
      <c r="AZ22" s="3784">
        <v>30761</v>
      </c>
    </row>
    <row r="23" spans="1:52" s="3482" customFormat="1">
      <c r="A23" s="3788" t="s">
        <v>4061</v>
      </c>
      <c r="B23" s="3788" t="s">
        <v>3378</v>
      </c>
      <c r="C23" s="3788" t="s">
        <v>3437</v>
      </c>
      <c r="D23" s="3788" t="s">
        <v>3608</v>
      </c>
      <c r="E23" s="3788" t="s">
        <v>3621</v>
      </c>
      <c r="F23" s="3788" t="s">
        <v>3632</v>
      </c>
      <c r="G23" s="3788" t="s">
        <v>4060</v>
      </c>
      <c r="H23" s="3788" t="s">
        <v>3438</v>
      </c>
      <c r="I23" s="3788">
        <v>40082.199999999997</v>
      </c>
      <c r="J23" s="3788">
        <v>60123.3</v>
      </c>
      <c r="K23" s="3788">
        <v>1.5</v>
      </c>
      <c r="L23" s="3788" t="s">
        <v>3439</v>
      </c>
      <c r="M23" s="3788" t="s">
        <v>4059</v>
      </c>
      <c r="N23" s="3788" t="s">
        <v>3441</v>
      </c>
      <c r="O23" s="3788" t="s">
        <v>3480</v>
      </c>
      <c r="P23" s="3788">
        <v>30</v>
      </c>
      <c r="Q23" s="3788" t="s">
        <v>3478</v>
      </c>
      <c r="R23" s="3788" t="s">
        <v>3478</v>
      </c>
      <c r="S23" s="3788" t="s">
        <v>3478</v>
      </c>
      <c r="T23" s="3788" t="s">
        <v>3478</v>
      </c>
      <c r="U23" s="3788" t="s">
        <v>3478</v>
      </c>
      <c r="V23" s="3788" t="s">
        <v>3478</v>
      </c>
      <c r="W23" s="3788" t="s">
        <v>3478</v>
      </c>
      <c r="X23" s="3788">
        <v>0</v>
      </c>
      <c r="Y23" s="3788">
        <v>0</v>
      </c>
      <c r="Z23" s="3789">
        <v>44516.000497685185</v>
      </c>
      <c r="AA23" s="3789">
        <v>44536.000497685185</v>
      </c>
      <c r="AB23" s="3789">
        <v>44550.000497685185</v>
      </c>
      <c r="AC23" s="3791">
        <v>44550.000497685185</v>
      </c>
      <c r="AD23" s="3788" t="s">
        <v>4058</v>
      </c>
      <c r="AE23" s="3788" t="s">
        <v>3442</v>
      </c>
      <c r="AF23" s="3788" t="s">
        <v>3443</v>
      </c>
      <c r="AG23" s="3788" t="s">
        <v>4057</v>
      </c>
      <c r="AH23" s="3788" t="s">
        <v>3662</v>
      </c>
      <c r="AI23" s="3788">
        <v>81924.009999999995</v>
      </c>
      <c r="AJ23" s="3788">
        <v>16400</v>
      </c>
      <c r="AK23" s="3788" t="s">
        <v>633</v>
      </c>
      <c r="AL23" s="3788">
        <v>81924.009999999995</v>
      </c>
      <c r="AM23" s="3788">
        <v>1362.6</v>
      </c>
      <c r="AN23" s="3788">
        <v>1362.6</v>
      </c>
      <c r="AO23" s="3788">
        <v>13626</v>
      </c>
      <c r="AP23" s="3790">
        <v>13626</v>
      </c>
      <c r="AQ23" s="3788" t="s">
        <v>3478</v>
      </c>
      <c r="AR23" s="3788" t="s">
        <v>3478</v>
      </c>
      <c r="AS23" s="3788">
        <v>0</v>
      </c>
      <c r="AT23" s="3788">
        <v>50</v>
      </c>
      <c r="AU23" s="3788" t="s">
        <v>3480</v>
      </c>
      <c r="AV23" s="3788" t="s">
        <v>3478</v>
      </c>
      <c r="AW23" s="3788" t="s">
        <v>3480</v>
      </c>
      <c r="AX23" s="3788" t="s">
        <v>3478</v>
      </c>
      <c r="AY23" s="3788" t="s">
        <v>3478</v>
      </c>
      <c r="AZ23" s="3788" t="s">
        <v>3478</v>
      </c>
    </row>
    <row r="24" spans="1:52">
      <c r="A24" s="3784" t="s">
        <v>4056</v>
      </c>
      <c r="B24" s="3784" t="s">
        <v>3378</v>
      </c>
      <c r="C24" s="3784" t="s">
        <v>4055</v>
      </c>
      <c r="D24" s="3784" t="s">
        <v>3608</v>
      </c>
      <c r="E24" s="3784" t="s">
        <v>3621</v>
      </c>
      <c r="F24" s="3784" t="s">
        <v>4054</v>
      </c>
      <c r="G24" s="3784" t="s">
        <v>3718</v>
      </c>
      <c r="H24" s="3784" t="s">
        <v>3455</v>
      </c>
      <c r="I24" s="3784">
        <v>54389.09</v>
      </c>
      <c r="J24" s="3784">
        <v>123172</v>
      </c>
      <c r="K24" s="3784" t="s">
        <v>4053</v>
      </c>
      <c r="L24" s="3784" t="s">
        <v>3439</v>
      </c>
      <c r="M24" s="3784" t="s">
        <v>4052</v>
      </c>
      <c r="N24" s="3784" t="s">
        <v>4005</v>
      </c>
      <c r="O24" s="3784">
        <v>1.79</v>
      </c>
      <c r="P24" s="3784" t="s">
        <v>4034</v>
      </c>
      <c r="Q24" s="3784" t="s">
        <v>4051</v>
      </c>
      <c r="R24" s="3784" t="s">
        <v>4050</v>
      </c>
      <c r="S24" s="3784" t="s">
        <v>4049</v>
      </c>
      <c r="T24" s="3784" t="s">
        <v>3478</v>
      </c>
      <c r="U24" s="3784" t="s">
        <v>3478</v>
      </c>
      <c r="V24" s="3784" t="s">
        <v>3478</v>
      </c>
      <c r="W24" s="3784" t="s">
        <v>3478</v>
      </c>
      <c r="X24" s="3784">
        <v>0</v>
      </c>
      <c r="Y24" s="3784">
        <v>0</v>
      </c>
      <c r="Z24" s="3787">
        <v>44438.000497685185</v>
      </c>
      <c r="AA24" s="3787">
        <v>44462.000497685185</v>
      </c>
      <c r="AB24" s="3787">
        <v>44482.000497685185</v>
      </c>
      <c r="AC24" s="3785">
        <v>44482.000497685185</v>
      </c>
      <c r="AD24" s="3784" t="s">
        <v>4048</v>
      </c>
      <c r="AE24" s="3784" t="s">
        <v>3442</v>
      </c>
      <c r="AF24" s="3784" t="s">
        <v>4047</v>
      </c>
      <c r="AG24" s="3784" t="s">
        <v>4046</v>
      </c>
      <c r="AH24" s="3784" t="s">
        <v>3624</v>
      </c>
      <c r="AI24" s="3784">
        <v>344000</v>
      </c>
      <c r="AJ24" s="3784">
        <v>69000</v>
      </c>
      <c r="AK24" s="3784" t="s">
        <v>4000</v>
      </c>
      <c r="AL24" s="3784">
        <v>378400</v>
      </c>
      <c r="AM24" s="3784">
        <v>4216.53</v>
      </c>
      <c r="AN24" s="3784">
        <v>4638.1899999999996</v>
      </c>
      <c r="AO24" s="3784">
        <v>27928</v>
      </c>
      <c r="AP24" s="3786">
        <v>30721</v>
      </c>
      <c r="AQ24" s="3784" t="s">
        <v>3478</v>
      </c>
      <c r="AR24" s="3784" t="s">
        <v>3478</v>
      </c>
      <c r="AS24" s="3784">
        <v>10</v>
      </c>
      <c r="AT24" s="3784" t="s">
        <v>3611</v>
      </c>
      <c r="AU24" s="3784">
        <v>378400</v>
      </c>
      <c r="AV24" s="3784" t="s">
        <v>3962</v>
      </c>
      <c r="AW24" s="3784">
        <v>59000</v>
      </c>
      <c r="AX24" s="3784">
        <v>30721</v>
      </c>
      <c r="AY24" s="3784">
        <v>10</v>
      </c>
      <c r="AZ24" s="3784">
        <v>31072</v>
      </c>
    </row>
    <row r="25" spans="1:52" hidden="1">
      <c r="A25" s="3784" t="s">
        <v>4045</v>
      </c>
      <c r="B25" s="3784" t="s">
        <v>3378</v>
      </c>
      <c r="C25" s="3784" t="s">
        <v>4044</v>
      </c>
      <c r="D25" s="3784" t="s">
        <v>3608</v>
      </c>
      <c r="E25" s="3784" t="s">
        <v>3607</v>
      </c>
      <c r="F25" s="3784" t="s">
        <v>3659</v>
      </c>
      <c r="G25" s="3784" t="s">
        <v>4026</v>
      </c>
      <c r="H25" s="3784" t="s">
        <v>3455</v>
      </c>
      <c r="I25" s="3784">
        <v>81852.240000000005</v>
      </c>
      <c r="J25" s="3784">
        <v>229603.29</v>
      </c>
      <c r="K25" s="3784">
        <v>2.81</v>
      </c>
      <c r="L25" s="3784" t="s">
        <v>3439</v>
      </c>
      <c r="M25" s="3784" t="s">
        <v>4043</v>
      </c>
      <c r="N25" s="3784" t="s">
        <v>4005</v>
      </c>
      <c r="O25" s="3784" t="s">
        <v>3480</v>
      </c>
      <c r="P25" s="3784">
        <v>0.3</v>
      </c>
      <c r="Q25" s="3784" t="s">
        <v>4042</v>
      </c>
      <c r="R25" s="3784" t="s">
        <v>4004</v>
      </c>
      <c r="S25" s="3784" t="s">
        <v>3994</v>
      </c>
      <c r="T25" s="3784" t="s">
        <v>3478</v>
      </c>
      <c r="U25" s="3784" t="s">
        <v>4041</v>
      </c>
      <c r="V25" s="3784">
        <v>128400</v>
      </c>
      <c r="W25" s="3784" t="s">
        <v>3478</v>
      </c>
      <c r="X25" s="3784">
        <v>0</v>
      </c>
      <c r="Y25" s="3784">
        <v>0</v>
      </c>
      <c r="Z25" s="3787">
        <v>44438.000497685185</v>
      </c>
      <c r="AA25" s="3787">
        <v>44462.000497685185</v>
      </c>
      <c r="AB25" s="3787">
        <v>44482.000497685185</v>
      </c>
      <c r="AC25" s="3785">
        <v>44482.000497685185</v>
      </c>
      <c r="AD25" s="3784" t="s">
        <v>4040</v>
      </c>
      <c r="AE25" s="3784" t="s">
        <v>3442</v>
      </c>
      <c r="AF25" s="3784" t="s">
        <v>4039</v>
      </c>
      <c r="AG25" s="3784" t="s">
        <v>4038</v>
      </c>
      <c r="AH25" s="3784" t="s">
        <v>3644</v>
      </c>
      <c r="AI25" s="3784">
        <v>429000</v>
      </c>
      <c r="AJ25" s="3784">
        <v>86000</v>
      </c>
      <c r="AK25" s="3784" t="s">
        <v>4000</v>
      </c>
      <c r="AL25" s="3784">
        <v>433400</v>
      </c>
      <c r="AM25" s="3784">
        <v>3494.1</v>
      </c>
      <c r="AN25" s="3784">
        <v>3529.94</v>
      </c>
      <c r="AO25" s="3784">
        <v>18684</v>
      </c>
      <c r="AP25" s="3786">
        <v>18876</v>
      </c>
      <c r="AQ25" s="3784">
        <v>42390</v>
      </c>
      <c r="AR25" s="3784" t="s">
        <v>3478</v>
      </c>
      <c r="AS25" s="3784">
        <v>1.03</v>
      </c>
      <c r="AT25" s="3784" t="s">
        <v>3999</v>
      </c>
      <c r="AU25" s="3784">
        <v>493350</v>
      </c>
      <c r="AV25" s="3784" t="s">
        <v>3926</v>
      </c>
      <c r="AW25" s="3784">
        <v>106000</v>
      </c>
      <c r="AX25" s="3784">
        <v>21487</v>
      </c>
      <c r="AY25" s="3784">
        <v>15</v>
      </c>
      <c r="AZ25" s="3784">
        <v>87316</v>
      </c>
    </row>
    <row r="26" spans="1:52">
      <c r="A26" s="3784" t="s">
        <v>4037</v>
      </c>
      <c r="B26" s="3784" t="s">
        <v>3378</v>
      </c>
      <c r="C26" s="3784" t="s">
        <v>4036</v>
      </c>
      <c r="D26" s="3784" t="s">
        <v>3608</v>
      </c>
      <c r="E26" s="3784" t="s">
        <v>3621</v>
      </c>
      <c r="F26" s="3784" t="s">
        <v>3825</v>
      </c>
      <c r="G26" s="3784" t="s">
        <v>3824</v>
      </c>
      <c r="H26" s="3784" t="s">
        <v>3438</v>
      </c>
      <c r="I26" s="3784">
        <v>71316.899999999994</v>
      </c>
      <c r="J26" s="3784">
        <v>178292.25</v>
      </c>
      <c r="K26" s="3784" t="s">
        <v>4035</v>
      </c>
      <c r="L26" s="3784" t="s">
        <v>3439</v>
      </c>
      <c r="M26" s="3784" t="s">
        <v>3640</v>
      </c>
      <c r="N26" s="3784" t="s">
        <v>4005</v>
      </c>
      <c r="O26" s="3784" t="s">
        <v>3480</v>
      </c>
      <c r="P26" s="3784" t="s">
        <v>4034</v>
      </c>
      <c r="Q26" s="3784" t="s">
        <v>3639</v>
      </c>
      <c r="R26" s="3784" t="s">
        <v>4004</v>
      </c>
      <c r="S26" s="3784" t="s">
        <v>3994</v>
      </c>
      <c r="T26" s="3784" t="s">
        <v>4014</v>
      </c>
      <c r="U26" s="3784" t="s">
        <v>4013</v>
      </c>
      <c r="V26" s="3784" t="s">
        <v>3478</v>
      </c>
      <c r="W26" s="3784" t="s">
        <v>3478</v>
      </c>
      <c r="X26" s="3784">
        <v>0</v>
      </c>
      <c r="Y26" s="3784">
        <v>0</v>
      </c>
      <c r="Z26" s="3787">
        <v>44438.000497685185</v>
      </c>
      <c r="AA26" s="3787">
        <v>44462.000497685185</v>
      </c>
      <c r="AB26" s="3787">
        <v>44481.000497685185</v>
      </c>
      <c r="AC26" s="3785">
        <v>44481.000497685185</v>
      </c>
      <c r="AD26" s="3784" t="s">
        <v>4033</v>
      </c>
      <c r="AE26" s="3784" t="s">
        <v>3442</v>
      </c>
      <c r="AF26" s="3784" t="s">
        <v>4032</v>
      </c>
      <c r="AG26" s="3784" t="s">
        <v>4031</v>
      </c>
      <c r="AH26" s="3784" t="s">
        <v>4030</v>
      </c>
      <c r="AI26" s="3784">
        <v>685000</v>
      </c>
      <c r="AJ26" s="3784">
        <v>137000</v>
      </c>
      <c r="AK26" s="3784" t="s">
        <v>4000</v>
      </c>
      <c r="AL26" s="3784">
        <v>685000</v>
      </c>
      <c r="AM26" s="3784">
        <v>6403.34</v>
      </c>
      <c r="AN26" s="3784">
        <v>6403.34</v>
      </c>
      <c r="AO26" s="3784">
        <v>38420</v>
      </c>
      <c r="AP26" s="3786">
        <v>38420</v>
      </c>
      <c r="AQ26" s="3784" t="s">
        <v>3478</v>
      </c>
      <c r="AR26" s="3784" t="s">
        <v>3478</v>
      </c>
      <c r="AS26" s="3784">
        <v>0</v>
      </c>
      <c r="AT26" s="3784" t="s">
        <v>3815</v>
      </c>
      <c r="AU26" s="3784">
        <v>787750</v>
      </c>
      <c r="AV26" s="3784" t="s">
        <v>3926</v>
      </c>
      <c r="AW26" s="3784">
        <v>66000</v>
      </c>
      <c r="AX26" s="3784">
        <v>44183</v>
      </c>
      <c r="AY26" s="3784">
        <v>15</v>
      </c>
      <c r="AZ26" s="3784">
        <v>27580</v>
      </c>
    </row>
    <row r="27" spans="1:52" hidden="1">
      <c r="A27" s="3784" t="s">
        <v>4029</v>
      </c>
      <c r="B27" s="3784" t="s">
        <v>3378</v>
      </c>
      <c r="C27" s="3784" t="s">
        <v>4028</v>
      </c>
      <c r="D27" s="3784" t="s">
        <v>3608</v>
      </c>
      <c r="E27" s="3784" t="s">
        <v>3607</v>
      </c>
      <c r="F27" s="3784" t="s">
        <v>4027</v>
      </c>
      <c r="G27" s="3784" t="s">
        <v>4026</v>
      </c>
      <c r="H27" s="3784" t="s">
        <v>3455</v>
      </c>
      <c r="I27" s="3784">
        <v>43632.26</v>
      </c>
      <c r="J27" s="3784">
        <v>101601</v>
      </c>
      <c r="K27" s="3784">
        <v>2.33</v>
      </c>
      <c r="L27" s="3784" t="s">
        <v>3439</v>
      </c>
      <c r="M27" s="3784" t="s">
        <v>4025</v>
      </c>
      <c r="N27" s="3784" t="s">
        <v>4005</v>
      </c>
      <c r="O27" s="3784">
        <v>12.48</v>
      </c>
      <c r="P27" s="3784" t="s">
        <v>3478</v>
      </c>
      <c r="Q27" s="3784" t="s">
        <v>3478</v>
      </c>
      <c r="R27" s="3784" t="s">
        <v>4004</v>
      </c>
      <c r="S27" s="3784" t="s">
        <v>3994</v>
      </c>
      <c r="T27" s="3784" t="s">
        <v>3478</v>
      </c>
      <c r="U27" s="3784" t="s">
        <v>3952</v>
      </c>
      <c r="V27" s="3784">
        <v>25700</v>
      </c>
      <c r="W27" s="3784" t="s">
        <v>3478</v>
      </c>
      <c r="X27" s="3784">
        <v>0</v>
      </c>
      <c r="Y27" s="3784">
        <v>0</v>
      </c>
      <c r="Z27" s="3787">
        <v>44438.000497685185</v>
      </c>
      <c r="AA27" s="3787">
        <v>44462.000497685185</v>
      </c>
      <c r="AB27" s="3787">
        <v>44482.000497685185</v>
      </c>
      <c r="AC27" s="3785">
        <v>44482.000497685185</v>
      </c>
      <c r="AD27" s="3784" t="s">
        <v>4024</v>
      </c>
      <c r="AE27" s="3784" t="s">
        <v>3442</v>
      </c>
      <c r="AF27" s="3784" t="s">
        <v>4023</v>
      </c>
      <c r="AG27" s="3784" t="s">
        <v>4022</v>
      </c>
      <c r="AH27" s="3784" t="s">
        <v>3798</v>
      </c>
      <c r="AI27" s="3784">
        <v>390000</v>
      </c>
      <c r="AJ27" s="3784">
        <v>78000</v>
      </c>
      <c r="AK27" s="3784" t="s">
        <v>4000</v>
      </c>
      <c r="AL27" s="3784">
        <v>418000</v>
      </c>
      <c r="AM27" s="3784">
        <v>5958.89</v>
      </c>
      <c r="AN27" s="3784">
        <v>6386.71</v>
      </c>
      <c r="AO27" s="3784">
        <v>38385</v>
      </c>
      <c r="AP27" s="3786">
        <v>41141</v>
      </c>
      <c r="AQ27" s="3784">
        <v>51383</v>
      </c>
      <c r="AR27" s="3784" t="s">
        <v>3478</v>
      </c>
      <c r="AS27" s="3784">
        <v>7.18</v>
      </c>
      <c r="AT27" s="3784" t="s">
        <v>4021</v>
      </c>
      <c r="AU27" s="3784">
        <v>448500</v>
      </c>
      <c r="AV27" s="3784" t="s">
        <v>3926</v>
      </c>
      <c r="AW27" s="3784">
        <v>112000</v>
      </c>
      <c r="AX27" s="3784">
        <v>44143</v>
      </c>
      <c r="AY27" s="3784">
        <v>15</v>
      </c>
      <c r="AZ27" s="3784">
        <v>73615</v>
      </c>
    </row>
    <row r="28" spans="1:52" hidden="1">
      <c r="A28" s="3784" t="s">
        <v>4020</v>
      </c>
      <c r="B28" s="3784" t="s">
        <v>3378</v>
      </c>
      <c r="C28" s="3784" t="s">
        <v>4019</v>
      </c>
      <c r="D28" s="3784" t="s">
        <v>3608</v>
      </c>
      <c r="E28" s="3784" t="s">
        <v>3747</v>
      </c>
      <c r="F28" s="3784" t="s">
        <v>3746</v>
      </c>
      <c r="G28" s="3784" t="s">
        <v>3917</v>
      </c>
      <c r="H28" s="3784" t="s">
        <v>3455</v>
      </c>
      <c r="I28" s="3784">
        <v>41530.480000000003</v>
      </c>
      <c r="J28" s="3784">
        <v>90206</v>
      </c>
      <c r="K28" s="3784" t="s">
        <v>4018</v>
      </c>
      <c r="L28" s="3784" t="s">
        <v>3439</v>
      </c>
      <c r="M28" s="3784" t="s">
        <v>4017</v>
      </c>
      <c r="N28" s="3784" t="s">
        <v>4005</v>
      </c>
      <c r="O28" s="3784" t="s">
        <v>3480</v>
      </c>
      <c r="P28" s="3784" t="s">
        <v>4016</v>
      </c>
      <c r="Q28" s="3784" t="s">
        <v>4015</v>
      </c>
      <c r="R28" s="3784" t="s">
        <v>4004</v>
      </c>
      <c r="S28" s="3784" t="s">
        <v>3994</v>
      </c>
      <c r="T28" s="3784" t="s">
        <v>4014</v>
      </c>
      <c r="U28" s="3784" t="s">
        <v>4013</v>
      </c>
      <c r="V28" s="3784" t="s">
        <v>3478</v>
      </c>
      <c r="W28" s="3784" t="s">
        <v>3478</v>
      </c>
      <c r="X28" s="3784">
        <v>0</v>
      </c>
      <c r="Y28" s="3784">
        <v>0</v>
      </c>
      <c r="Z28" s="3787">
        <v>44438.000497685185</v>
      </c>
      <c r="AA28" s="3787">
        <v>44462.000497685185</v>
      </c>
      <c r="AB28" s="3787">
        <v>44482.000497685185</v>
      </c>
      <c r="AC28" s="3785">
        <v>44482.000497685185</v>
      </c>
      <c r="AD28" s="3784" t="s">
        <v>4012</v>
      </c>
      <c r="AE28" s="3784" t="s">
        <v>3442</v>
      </c>
      <c r="AF28" s="3784" t="s">
        <v>4011</v>
      </c>
      <c r="AG28" s="3784" t="s">
        <v>3852</v>
      </c>
      <c r="AH28" s="3784" t="s">
        <v>3624</v>
      </c>
      <c r="AI28" s="3784">
        <v>135000</v>
      </c>
      <c r="AJ28" s="3784">
        <v>27000</v>
      </c>
      <c r="AK28" s="3784" t="s">
        <v>4000</v>
      </c>
      <c r="AL28" s="3784">
        <v>146000</v>
      </c>
      <c r="AM28" s="3784">
        <v>2167.08</v>
      </c>
      <c r="AN28" s="3784">
        <v>2343.66</v>
      </c>
      <c r="AO28" s="3784">
        <v>14966</v>
      </c>
      <c r="AP28" s="3786">
        <v>16185</v>
      </c>
      <c r="AQ28" s="3784" t="s">
        <v>3478</v>
      </c>
      <c r="AR28" s="3784" t="s">
        <v>3478</v>
      </c>
      <c r="AS28" s="3784">
        <v>8.15</v>
      </c>
      <c r="AT28" s="3784" t="s">
        <v>4010</v>
      </c>
      <c r="AU28" s="3784">
        <v>155250</v>
      </c>
      <c r="AV28" s="3784" t="s">
        <v>3926</v>
      </c>
      <c r="AW28" s="3784">
        <v>45000</v>
      </c>
      <c r="AX28" s="3784">
        <v>17211</v>
      </c>
      <c r="AY28" s="3784">
        <v>15</v>
      </c>
      <c r="AZ28" s="3784">
        <v>30034</v>
      </c>
    </row>
    <row r="29" spans="1:52" hidden="1">
      <c r="A29" s="3784" t="s">
        <v>4009</v>
      </c>
      <c r="B29" s="3784" t="s">
        <v>3378</v>
      </c>
      <c r="C29" s="3784" t="s">
        <v>4008</v>
      </c>
      <c r="D29" s="3784" t="s">
        <v>3608</v>
      </c>
      <c r="E29" s="3784" t="s">
        <v>3747</v>
      </c>
      <c r="F29" s="3784" t="s">
        <v>4007</v>
      </c>
      <c r="G29" s="3784" t="s">
        <v>4006</v>
      </c>
      <c r="H29" s="3784" t="s">
        <v>3438</v>
      </c>
      <c r="I29" s="3784">
        <v>72250</v>
      </c>
      <c r="J29" s="3784">
        <v>79475</v>
      </c>
      <c r="K29" s="3784">
        <v>1.1000000000000001</v>
      </c>
      <c r="L29" s="3784" t="s">
        <v>3439</v>
      </c>
      <c r="M29" s="3784" t="s">
        <v>3640</v>
      </c>
      <c r="N29" s="3784" t="s">
        <v>4005</v>
      </c>
      <c r="O29" s="3784" t="s">
        <v>3480</v>
      </c>
      <c r="P29" s="3784" t="s">
        <v>3478</v>
      </c>
      <c r="Q29" s="3784" t="s">
        <v>3478</v>
      </c>
      <c r="R29" s="3784" t="s">
        <v>4004</v>
      </c>
      <c r="S29" s="3784" t="s">
        <v>3994</v>
      </c>
      <c r="T29" s="3784" t="s">
        <v>3478</v>
      </c>
      <c r="U29" s="3784" t="s">
        <v>3478</v>
      </c>
      <c r="V29" s="3784" t="s">
        <v>3478</v>
      </c>
      <c r="W29" s="3784" t="s">
        <v>3478</v>
      </c>
      <c r="X29" s="3784">
        <v>0</v>
      </c>
      <c r="Y29" s="3784">
        <v>0</v>
      </c>
      <c r="Z29" s="3787">
        <v>44438.000497685185</v>
      </c>
      <c r="AA29" s="3787">
        <v>44462.000497685185</v>
      </c>
      <c r="AB29" s="3787">
        <v>44481.000497685185</v>
      </c>
      <c r="AC29" s="3785">
        <v>44481.000497685185</v>
      </c>
      <c r="AD29" s="3784" t="s">
        <v>4003</v>
      </c>
      <c r="AE29" s="3784" t="s">
        <v>3442</v>
      </c>
      <c r="AF29" s="3784" t="s">
        <v>4002</v>
      </c>
      <c r="AG29" s="3784" t="s">
        <v>4001</v>
      </c>
      <c r="AH29" s="3784" t="s">
        <v>3662</v>
      </c>
      <c r="AI29" s="3784">
        <v>98300</v>
      </c>
      <c r="AJ29" s="3784">
        <v>20000</v>
      </c>
      <c r="AK29" s="3784" t="s">
        <v>4000</v>
      </c>
      <c r="AL29" s="3784">
        <v>98300</v>
      </c>
      <c r="AM29" s="3784">
        <v>907.04</v>
      </c>
      <c r="AN29" s="3784">
        <v>907.04</v>
      </c>
      <c r="AO29" s="3784">
        <v>12369</v>
      </c>
      <c r="AP29" s="3786">
        <v>12369</v>
      </c>
      <c r="AQ29" s="3784" t="s">
        <v>3478</v>
      </c>
      <c r="AR29" s="3784" t="s">
        <v>3478</v>
      </c>
      <c r="AS29" s="3784">
        <v>0</v>
      </c>
      <c r="AT29" s="3784" t="s">
        <v>3999</v>
      </c>
      <c r="AU29" s="3784">
        <v>103215</v>
      </c>
      <c r="AV29" s="3784" t="s">
        <v>3926</v>
      </c>
      <c r="AW29" s="3784">
        <v>27000</v>
      </c>
      <c r="AX29" s="3784">
        <v>12987</v>
      </c>
      <c r="AY29" s="3784">
        <v>5</v>
      </c>
      <c r="AZ29" s="3784">
        <v>14631</v>
      </c>
    </row>
    <row r="30" spans="1:52" hidden="1">
      <c r="A30" s="3784" t="s">
        <v>3998</v>
      </c>
      <c r="B30" s="3784" t="s">
        <v>3378</v>
      </c>
      <c r="C30" s="3784" t="s">
        <v>3997</v>
      </c>
      <c r="D30" s="3784" t="s">
        <v>3608</v>
      </c>
      <c r="E30" s="3784" t="s">
        <v>3747</v>
      </c>
      <c r="F30" s="3784" t="s">
        <v>3871</v>
      </c>
      <c r="G30" s="3784" t="s">
        <v>3870</v>
      </c>
      <c r="H30" s="3784" t="s">
        <v>3455</v>
      </c>
      <c r="I30" s="3784">
        <v>40514.839999999997</v>
      </c>
      <c r="J30" s="3784">
        <v>92680</v>
      </c>
      <c r="K30" s="3784" t="s">
        <v>3996</v>
      </c>
      <c r="L30" s="3784" t="s">
        <v>3775</v>
      </c>
      <c r="M30" s="3784" t="s">
        <v>3981</v>
      </c>
      <c r="N30" s="3784" t="s">
        <v>3933</v>
      </c>
      <c r="O30" s="3784" t="s">
        <v>3480</v>
      </c>
      <c r="P30" s="3784" t="s">
        <v>3602</v>
      </c>
      <c r="Q30" s="3784" t="s">
        <v>3995</v>
      </c>
      <c r="R30" s="3784" t="s">
        <v>3994</v>
      </c>
      <c r="S30" s="3784" t="s">
        <v>3667</v>
      </c>
      <c r="T30" s="3784" t="s">
        <v>3953</v>
      </c>
      <c r="U30" s="3784" t="s">
        <v>3952</v>
      </c>
      <c r="V30" s="3784">
        <v>25775.56</v>
      </c>
      <c r="W30" s="3784">
        <v>0</v>
      </c>
      <c r="X30" s="3784">
        <v>0</v>
      </c>
      <c r="Y30" s="3784">
        <v>25775.56</v>
      </c>
      <c r="Z30" s="3787">
        <v>44286.000497685185</v>
      </c>
      <c r="AA30" s="3787">
        <v>44308.000497685185</v>
      </c>
      <c r="AB30" s="3787">
        <v>44308.000497685185</v>
      </c>
      <c r="AC30" s="3785">
        <v>44308.000497685185</v>
      </c>
      <c r="AD30" s="3784" t="s">
        <v>3993</v>
      </c>
      <c r="AE30" s="3784" t="s">
        <v>3442</v>
      </c>
      <c r="AF30" s="3784" t="s">
        <v>3992</v>
      </c>
      <c r="AG30" s="3784" t="s">
        <v>3963</v>
      </c>
      <c r="AH30" s="3784" t="s">
        <v>3662</v>
      </c>
      <c r="AI30" s="3784" t="s">
        <v>3478</v>
      </c>
      <c r="AJ30" s="3784">
        <v>15000</v>
      </c>
      <c r="AK30" s="3784" t="s">
        <v>3991</v>
      </c>
      <c r="AL30" s="3784">
        <v>75000</v>
      </c>
      <c r="AM30" s="3784" t="s">
        <v>3478</v>
      </c>
      <c r="AN30" s="3784">
        <v>1234.1199999999999</v>
      </c>
      <c r="AO30" s="3784" t="s">
        <v>3478</v>
      </c>
      <c r="AP30" s="3786">
        <v>8092</v>
      </c>
      <c r="AQ30" s="3784" t="s">
        <v>3478</v>
      </c>
      <c r="AR30" s="3784" t="s">
        <v>3478</v>
      </c>
      <c r="AS30" s="3784">
        <v>0</v>
      </c>
      <c r="AT30" s="3784" t="s">
        <v>3635</v>
      </c>
      <c r="AU30" s="3784">
        <v>403700</v>
      </c>
      <c r="AV30" s="3784" t="s">
        <v>3926</v>
      </c>
      <c r="AW30" s="3784">
        <v>27000</v>
      </c>
      <c r="AX30" s="3784">
        <v>43558</v>
      </c>
      <c r="AY30" s="3784" t="s">
        <v>3478</v>
      </c>
      <c r="AZ30" s="3784" t="s">
        <v>3478</v>
      </c>
    </row>
    <row r="31" spans="1:52" hidden="1">
      <c r="A31" s="3784" t="s">
        <v>3990</v>
      </c>
      <c r="B31" s="3784" t="s">
        <v>3378</v>
      </c>
      <c r="C31" s="3784" t="s">
        <v>3989</v>
      </c>
      <c r="D31" s="3784" t="s">
        <v>3608</v>
      </c>
      <c r="E31" s="3784" t="s">
        <v>3607</v>
      </c>
      <c r="F31" s="3784" t="s">
        <v>3757</v>
      </c>
      <c r="G31" s="3784" t="s">
        <v>3988</v>
      </c>
      <c r="H31" s="3784" t="s">
        <v>3438</v>
      </c>
      <c r="I31" s="3784">
        <v>74400.31</v>
      </c>
      <c r="J31" s="3784">
        <v>171120.71</v>
      </c>
      <c r="K31" s="3784" t="s">
        <v>3923</v>
      </c>
      <c r="L31" s="3784" t="s">
        <v>3439</v>
      </c>
      <c r="M31" s="3784" t="s">
        <v>3640</v>
      </c>
      <c r="N31" s="3784" t="s">
        <v>3933</v>
      </c>
      <c r="O31" s="3784" t="s">
        <v>3480</v>
      </c>
      <c r="P31" s="3784" t="s">
        <v>3602</v>
      </c>
      <c r="Q31" s="3784" t="s">
        <v>3906</v>
      </c>
      <c r="R31" s="3784" t="s">
        <v>3967</v>
      </c>
      <c r="S31" s="3784" t="s">
        <v>3966</v>
      </c>
      <c r="T31" s="3784" t="s">
        <v>3953</v>
      </c>
      <c r="U31" s="3784" t="s">
        <v>3952</v>
      </c>
      <c r="V31" s="3784">
        <v>1000</v>
      </c>
      <c r="W31" s="3784">
        <v>33500</v>
      </c>
      <c r="X31" s="3784">
        <v>0</v>
      </c>
      <c r="Y31" s="3784">
        <v>0</v>
      </c>
      <c r="Z31" s="3787">
        <v>44286.000497685185</v>
      </c>
      <c r="AA31" s="3787">
        <v>44308.000497685185</v>
      </c>
      <c r="AB31" s="3787">
        <v>44324.000497685185</v>
      </c>
      <c r="AC31" s="3785">
        <v>44327.000497685185</v>
      </c>
      <c r="AD31" s="3784" t="s">
        <v>3987</v>
      </c>
      <c r="AE31" s="3784" t="s">
        <v>3442</v>
      </c>
      <c r="AF31" s="3784" t="s">
        <v>3986</v>
      </c>
      <c r="AG31" s="3784" t="s">
        <v>3985</v>
      </c>
      <c r="AH31" s="3784" t="s">
        <v>3984</v>
      </c>
      <c r="AI31" s="3784">
        <v>590000</v>
      </c>
      <c r="AJ31" s="3784">
        <v>120000</v>
      </c>
      <c r="AK31" s="3784" t="s">
        <v>3927</v>
      </c>
      <c r="AL31" s="3784">
        <v>620000</v>
      </c>
      <c r="AM31" s="3784">
        <v>5286.72</v>
      </c>
      <c r="AN31" s="3784">
        <v>5555.53</v>
      </c>
      <c r="AO31" s="3784">
        <v>34479</v>
      </c>
      <c r="AP31" s="3786">
        <v>36232</v>
      </c>
      <c r="AQ31" s="3784">
        <v>34681</v>
      </c>
      <c r="AR31" s="3784">
        <v>45051</v>
      </c>
      <c r="AS31" s="3784">
        <v>5.08</v>
      </c>
      <c r="AT31" s="3784" t="s">
        <v>3635</v>
      </c>
      <c r="AU31" s="3784">
        <v>620000</v>
      </c>
      <c r="AV31" s="3784" t="s">
        <v>3962</v>
      </c>
      <c r="AW31" s="3784" t="s">
        <v>3480</v>
      </c>
      <c r="AX31" s="3784">
        <v>36232</v>
      </c>
      <c r="AY31" s="3784">
        <v>5.08</v>
      </c>
      <c r="AZ31" s="3784" t="s">
        <v>3478</v>
      </c>
    </row>
    <row r="32" spans="1:52">
      <c r="A32" s="3784" t="s">
        <v>3983</v>
      </c>
      <c r="B32" s="3784" t="s">
        <v>3378</v>
      </c>
      <c r="C32" s="3784" t="s">
        <v>3982</v>
      </c>
      <c r="D32" s="3784" t="s">
        <v>3608</v>
      </c>
      <c r="E32" s="3784" t="s">
        <v>3621</v>
      </c>
      <c r="F32" s="3784" t="s">
        <v>3959</v>
      </c>
      <c r="G32" s="3784" t="s">
        <v>3958</v>
      </c>
      <c r="H32" s="3784" t="s">
        <v>3455</v>
      </c>
      <c r="I32" s="3784">
        <v>94973.86</v>
      </c>
      <c r="J32" s="3784">
        <v>192900</v>
      </c>
      <c r="K32" s="3784" t="s">
        <v>3488</v>
      </c>
      <c r="L32" s="3784" t="s">
        <v>3439</v>
      </c>
      <c r="M32" s="3784" t="s">
        <v>3981</v>
      </c>
      <c r="N32" s="3784" t="s">
        <v>3933</v>
      </c>
      <c r="O32" s="3784" t="s">
        <v>3480</v>
      </c>
      <c r="P32" s="3784" t="s">
        <v>3478</v>
      </c>
      <c r="Q32" s="3784" t="s">
        <v>3980</v>
      </c>
      <c r="R32" s="3784" t="s">
        <v>3979</v>
      </c>
      <c r="S32" s="3784" t="s">
        <v>3978</v>
      </c>
      <c r="T32" s="3784" t="s">
        <v>3953</v>
      </c>
      <c r="U32" s="3784" t="s">
        <v>3952</v>
      </c>
      <c r="V32" s="3784" t="s">
        <v>3478</v>
      </c>
      <c r="W32" s="3784">
        <v>1000</v>
      </c>
      <c r="X32" s="3784">
        <v>0</v>
      </c>
      <c r="Y32" s="3784">
        <v>0</v>
      </c>
      <c r="Z32" s="3787">
        <v>44286.000497685185</v>
      </c>
      <c r="AA32" s="3787">
        <v>44308.000497685185</v>
      </c>
      <c r="AB32" s="3787">
        <v>44324.000497685185</v>
      </c>
      <c r="AC32" s="3785">
        <v>44327.000497685185</v>
      </c>
      <c r="AD32" s="3784" t="s">
        <v>3977</v>
      </c>
      <c r="AE32" s="3784" t="s">
        <v>3442</v>
      </c>
      <c r="AF32" s="3784" t="s">
        <v>3976</v>
      </c>
      <c r="AG32" s="3784" t="s">
        <v>3975</v>
      </c>
      <c r="AH32" s="3784" t="s">
        <v>3624</v>
      </c>
      <c r="AI32" s="3784">
        <v>595000</v>
      </c>
      <c r="AJ32" s="3784">
        <v>119000</v>
      </c>
      <c r="AK32" s="3784" t="s">
        <v>3927</v>
      </c>
      <c r="AL32" s="3784">
        <v>625000</v>
      </c>
      <c r="AM32" s="3784">
        <v>4176.59</v>
      </c>
      <c r="AN32" s="3784">
        <v>4387.17</v>
      </c>
      <c r="AO32" s="3784">
        <v>30845</v>
      </c>
      <c r="AP32" s="3786">
        <v>32400</v>
      </c>
      <c r="AQ32" s="3784" t="s">
        <v>3478</v>
      </c>
      <c r="AR32" s="3784">
        <v>32569</v>
      </c>
      <c r="AS32" s="3784">
        <v>5.04</v>
      </c>
      <c r="AT32" s="3784" t="s">
        <v>3635</v>
      </c>
      <c r="AU32" s="3784">
        <v>625000</v>
      </c>
      <c r="AV32" s="3784" t="s">
        <v>3962</v>
      </c>
      <c r="AW32" s="3784" t="s">
        <v>3480</v>
      </c>
      <c r="AX32" s="3784">
        <v>32400</v>
      </c>
      <c r="AY32" s="3784">
        <v>5.04</v>
      </c>
      <c r="AZ32" s="3784" t="s">
        <v>3478</v>
      </c>
    </row>
    <row r="33" spans="1:52">
      <c r="A33" s="3784" t="s">
        <v>3974</v>
      </c>
      <c r="B33" s="3784" t="s">
        <v>3378</v>
      </c>
      <c r="C33" s="3784" t="s">
        <v>3973</v>
      </c>
      <c r="D33" s="3784" t="s">
        <v>3608</v>
      </c>
      <c r="E33" s="3784" t="s">
        <v>3621</v>
      </c>
      <c r="F33" s="3784" t="s">
        <v>3825</v>
      </c>
      <c r="G33" s="3784" t="s">
        <v>3972</v>
      </c>
      <c r="H33" s="3784" t="s">
        <v>3455</v>
      </c>
      <c r="I33" s="3784">
        <v>38598.46</v>
      </c>
      <c r="J33" s="3784">
        <v>82574</v>
      </c>
      <c r="K33" s="3784" t="s">
        <v>3971</v>
      </c>
      <c r="L33" s="3784" t="s">
        <v>3439</v>
      </c>
      <c r="M33" s="3784" t="s">
        <v>3970</v>
      </c>
      <c r="N33" s="3784" t="s">
        <v>3933</v>
      </c>
      <c r="O33" s="3784" t="s">
        <v>3480</v>
      </c>
      <c r="P33" s="3784" t="s">
        <v>3969</v>
      </c>
      <c r="Q33" s="3784" t="s">
        <v>3968</v>
      </c>
      <c r="R33" s="3784" t="s">
        <v>3967</v>
      </c>
      <c r="S33" s="3784" t="s">
        <v>3966</v>
      </c>
      <c r="T33" s="3784" t="s">
        <v>3953</v>
      </c>
      <c r="U33" s="3784" t="s">
        <v>3952</v>
      </c>
      <c r="V33" s="3784">
        <v>12810</v>
      </c>
      <c r="W33" s="3784">
        <v>28810</v>
      </c>
      <c r="X33" s="3784">
        <v>0</v>
      </c>
      <c r="Y33" s="3784">
        <v>0</v>
      </c>
      <c r="Z33" s="3787">
        <v>44286.000497685185</v>
      </c>
      <c r="AA33" s="3787">
        <v>44308.000497685185</v>
      </c>
      <c r="AB33" s="3787">
        <v>44324.000497685185</v>
      </c>
      <c r="AC33" s="3785">
        <v>44327.000497685185</v>
      </c>
      <c r="AD33" s="3784" t="s">
        <v>3965</v>
      </c>
      <c r="AE33" s="3784" t="s">
        <v>3442</v>
      </c>
      <c r="AF33" s="3784" t="s">
        <v>3964</v>
      </c>
      <c r="AG33" s="3784" t="s">
        <v>3963</v>
      </c>
      <c r="AH33" s="3784" t="s">
        <v>3662</v>
      </c>
      <c r="AI33" s="3784">
        <v>142000</v>
      </c>
      <c r="AJ33" s="3784">
        <v>29000</v>
      </c>
      <c r="AK33" s="3784" t="s">
        <v>3927</v>
      </c>
      <c r="AL33" s="3784">
        <v>163000</v>
      </c>
      <c r="AM33" s="3784">
        <v>2452.6</v>
      </c>
      <c r="AN33" s="3784">
        <v>2815.31</v>
      </c>
      <c r="AO33" s="3784">
        <v>17197</v>
      </c>
      <c r="AP33" s="3786">
        <v>19740</v>
      </c>
      <c r="AQ33" s="3784">
        <v>20354</v>
      </c>
      <c r="AR33" s="3784">
        <v>30318</v>
      </c>
      <c r="AS33" s="3784">
        <v>14.79</v>
      </c>
      <c r="AT33" s="3784" t="s">
        <v>3635</v>
      </c>
      <c r="AU33" s="3784">
        <v>163000</v>
      </c>
      <c r="AV33" s="3784" t="s">
        <v>3962</v>
      </c>
      <c r="AW33" s="3784" t="s">
        <v>3480</v>
      </c>
      <c r="AX33" s="3784">
        <v>19740</v>
      </c>
      <c r="AY33" s="3784">
        <v>14.79</v>
      </c>
      <c r="AZ33" s="3784" t="s">
        <v>3478</v>
      </c>
    </row>
    <row r="34" spans="1:52">
      <c r="A34" s="3784" t="s">
        <v>3961</v>
      </c>
      <c r="B34" s="3784" t="s">
        <v>3378</v>
      </c>
      <c r="C34" s="3784" t="s">
        <v>3960</v>
      </c>
      <c r="D34" s="3784" t="s">
        <v>3608</v>
      </c>
      <c r="E34" s="3784" t="s">
        <v>3621</v>
      </c>
      <c r="F34" s="3784" t="s">
        <v>3959</v>
      </c>
      <c r="G34" s="3784" t="s">
        <v>3958</v>
      </c>
      <c r="H34" s="3784" t="s">
        <v>3455</v>
      </c>
      <c r="I34" s="3784">
        <v>108243.94</v>
      </c>
      <c r="J34" s="3784">
        <v>262360.75</v>
      </c>
      <c r="K34" s="3784" t="s">
        <v>3957</v>
      </c>
      <c r="L34" s="3784" t="s">
        <v>3439</v>
      </c>
      <c r="M34" s="3784" t="s">
        <v>3956</v>
      </c>
      <c r="N34" s="3784" t="s">
        <v>3933</v>
      </c>
      <c r="O34" s="3784">
        <v>5.28</v>
      </c>
      <c r="P34" s="3784" t="s">
        <v>3478</v>
      </c>
      <c r="Q34" s="3784" t="s">
        <v>3478</v>
      </c>
      <c r="R34" s="3784" t="s">
        <v>3955</v>
      </c>
      <c r="S34" s="3784" t="s">
        <v>3954</v>
      </c>
      <c r="T34" s="3784" t="s">
        <v>3953</v>
      </c>
      <c r="U34" s="3784" t="s">
        <v>3952</v>
      </c>
      <c r="V34" s="3784" t="s">
        <v>3478</v>
      </c>
      <c r="W34" s="3784">
        <v>0</v>
      </c>
      <c r="X34" s="3784">
        <v>0</v>
      </c>
      <c r="Y34" s="3784">
        <v>0</v>
      </c>
      <c r="Z34" s="3787">
        <v>44286.000497685185</v>
      </c>
      <c r="AA34" s="3787">
        <v>44308.000497685185</v>
      </c>
      <c r="AB34" s="3787">
        <v>44324.000497685185</v>
      </c>
      <c r="AC34" s="3785">
        <v>44324.000497685185</v>
      </c>
      <c r="AD34" s="3784" t="s">
        <v>3951</v>
      </c>
      <c r="AE34" s="3784" t="s">
        <v>3442</v>
      </c>
      <c r="AF34" s="3784" t="s">
        <v>3950</v>
      </c>
      <c r="AG34" s="3784" t="s">
        <v>3949</v>
      </c>
      <c r="AH34" s="3784" t="s">
        <v>3948</v>
      </c>
      <c r="AI34" s="3784">
        <v>452000</v>
      </c>
      <c r="AJ34" s="3784">
        <v>91000</v>
      </c>
      <c r="AK34" s="3784" t="s">
        <v>3927</v>
      </c>
      <c r="AL34" s="3784">
        <v>452000</v>
      </c>
      <c r="AM34" s="3784">
        <v>2783.84</v>
      </c>
      <c r="AN34" s="3784">
        <v>2783.84</v>
      </c>
      <c r="AO34" s="3784">
        <v>17228</v>
      </c>
      <c r="AP34" s="3786">
        <v>17228</v>
      </c>
      <c r="AQ34" s="3784" t="s">
        <v>3478</v>
      </c>
      <c r="AR34" s="3784" t="s">
        <v>3478</v>
      </c>
      <c r="AS34" s="3784">
        <v>0</v>
      </c>
      <c r="AT34" s="3784" t="s">
        <v>3635</v>
      </c>
      <c r="AU34" s="3784">
        <v>497000</v>
      </c>
      <c r="AV34" s="3784" t="s">
        <v>3926</v>
      </c>
      <c r="AW34" s="3784" t="s">
        <v>3480</v>
      </c>
      <c r="AX34" s="3784">
        <v>18943</v>
      </c>
      <c r="AY34" s="3784">
        <v>9.9600000000000009</v>
      </c>
      <c r="AZ34" s="3784" t="s">
        <v>3478</v>
      </c>
    </row>
    <row r="35" spans="1:52" hidden="1">
      <c r="A35" s="3784" t="s">
        <v>3947</v>
      </c>
      <c r="B35" s="3784" t="s">
        <v>3378</v>
      </c>
      <c r="C35" s="3784" t="s">
        <v>3946</v>
      </c>
      <c r="D35" s="3784" t="s">
        <v>3608</v>
      </c>
      <c r="E35" s="3784" t="s">
        <v>3607</v>
      </c>
      <c r="F35" s="3784" t="s">
        <v>3606</v>
      </c>
      <c r="G35" s="3784" t="s">
        <v>3945</v>
      </c>
      <c r="H35" s="3784" t="s">
        <v>3438</v>
      </c>
      <c r="I35" s="3784">
        <v>90083.7</v>
      </c>
      <c r="J35" s="3784">
        <v>126117.18</v>
      </c>
      <c r="K35" s="3784" t="s">
        <v>3944</v>
      </c>
      <c r="L35" s="3784" t="s">
        <v>3439</v>
      </c>
      <c r="M35" s="3784" t="s">
        <v>3640</v>
      </c>
      <c r="N35" s="3784" t="s">
        <v>3933</v>
      </c>
      <c r="O35" s="3784" t="s">
        <v>3480</v>
      </c>
      <c r="P35" s="3784" t="s">
        <v>3943</v>
      </c>
      <c r="Q35" s="3784" t="s">
        <v>3942</v>
      </c>
      <c r="R35" s="3784" t="s">
        <v>3941</v>
      </c>
      <c r="S35" s="3784" t="s">
        <v>3599</v>
      </c>
      <c r="T35" s="3784" t="s">
        <v>3478</v>
      </c>
      <c r="U35" s="3784" t="s">
        <v>3478</v>
      </c>
      <c r="V35" s="3784">
        <v>0</v>
      </c>
      <c r="W35" s="3784">
        <v>0</v>
      </c>
      <c r="X35" s="3784">
        <v>0</v>
      </c>
      <c r="Y35" s="3784">
        <v>0</v>
      </c>
      <c r="Z35" s="3787">
        <v>44286.000497685185</v>
      </c>
      <c r="AA35" s="3787">
        <v>44308.000497685185</v>
      </c>
      <c r="AB35" s="3787">
        <v>44324.000497685185</v>
      </c>
      <c r="AC35" s="3785">
        <v>44327.000497685185</v>
      </c>
      <c r="AD35" s="3784" t="s">
        <v>3940</v>
      </c>
      <c r="AE35" s="3784" t="s">
        <v>3442</v>
      </c>
      <c r="AF35" s="3784" t="s">
        <v>3939</v>
      </c>
      <c r="AG35" s="3784" t="s">
        <v>3938</v>
      </c>
      <c r="AH35" s="3784" t="s">
        <v>3624</v>
      </c>
      <c r="AI35" s="3784">
        <v>367000</v>
      </c>
      <c r="AJ35" s="3784">
        <v>75000</v>
      </c>
      <c r="AK35" s="3784" t="s">
        <v>3927</v>
      </c>
      <c r="AL35" s="3784">
        <v>371000</v>
      </c>
      <c r="AM35" s="3784">
        <v>2715.99</v>
      </c>
      <c r="AN35" s="3784">
        <v>2745.59</v>
      </c>
      <c r="AO35" s="3784">
        <v>29100</v>
      </c>
      <c r="AP35" s="3786">
        <v>29417</v>
      </c>
      <c r="AQ35" s="3784" t="s">
        <v>3478</v>
      </c>
      <c r="AR35" s="3784" t="s">
        <v>3478</v>
      </c>
      <c r="AS35" s="3784">
        <v>1.0900000000000001</v>
      </c>
      <c r="AT35" s="3784" t="s">
        <v>3635</v>
      </c>
      <c r="AU35" s="3784">
        <v>403700</v>
      </c>
      <c r="AV35" s="3784" t="s">
        <v>3926</v>
      </c>
      <c r="AW35" s="3784" t="s">
        <v>3480</v>
      </c>
      <c r="AX35" s="3784">
        <v>32010</v>
      </c>
      <c r="AY35" s="3784">
        <v>10</v>
      </c>
      <c r="AZ35" s="3784" t="s">
        <v>3478</v>
      </c>
    </row>
    <row r="36" spans="1:52">
      <c r="A36" s="3784" t="s">
        <v>3937</v>
      </c>
      <c r="B36" s="3784" t="s">
        <v>3378</v>
      </c>
      <c r="C36" s="3784" t="s">
        <v>3936</v>
      </c>
      <c r="D36" s="3784" t="s">
        <v>3608</v>
      </c>
      <c r="E36" s="3784" t="s">
        <v>3621</v>
      </c>
      <c r="F36" s="3784" t="s">
        <v>3935</v>
      </c>
      <c r="G36" s="3784" t="s">
        <v>3934</v>
      </c>
      <c r="H36" s="3784" t="s">
        <v>3438</v>
      </c>
      <c r="I36" s="3784">
        <v>48407.51</v>
      </c>
      <c r="J36" s="3784">
        <v>96815.01</v>
      </c>
      <c r="K36" s="3784" t="s">
        <v>3488</v>
      </c>
      <c r="L36" s="3784" t="s">
        <v>3439</v>
      </c>
      <c r="M36" s="3784" t="s">
        <v>3640</v>
      </c>
      <c r="N36" s="3784" t="s">
        <v>3933</v>
      </c>
      <c r="O36" s="3784" t="s">
        <v>3480</v>
      </c>
      <c r="P36" s="3784" t="s">
        <v>3602</v>
      </c>
      <c r="Q36" s="3784" t="s">
        <v>3906</v>
      </c>
      <c r="R36" s="3784" t="s">
        <v>3932</v>
      </c>
      <c r="S36" s="3784" t="s">
        <v>3652</v>
      </c>
      <c r="T36" s="3784" t="s">
        <v>3478</v>
      </c>
      <c r="U36" s="3784" t="s">
        <v>3478</v>
      </c>
      <c r="V36" s="3784">
        <v>0</v>
      </c>
      <c r="W36" s="3784">
        <v>0</v>
      </c>
      <c r="X36" s="3784">
        <v>0</v>
      </c>
      <c r="Y36" s="3784">
        <v>0</v>
      </c>
      <c r="Z36" s="3787">
        <v>44286.000497685185</v>
      </c>
      <c r="AA36" s="3787">
        <v>44308.000497685185</v>
      </c>
      <c r="AB36" s="3787">
        <v>44324.000497685185</v>
      </c>
      <c r="AC36" s="3785">
        <v>44324.000497685185</v>
      </c>
      <c r="AD36" s="3784" t="s">
        <v>3931</v>
      </c>
      <c r="AE36" s="3784" t="s">
        <v>3442</v>
      </c>
      <c r="AF36" s="3784" t="s">
        <v>3930</v>
      </c>
      <c r="AG36" s="3784" t="s">
        <v>3929</v>
      </c>
      <c r="AH36" s="3784" t="s">
        <v>3928</v>
      </c>
      <c r="AI36" s="3784">
        <v>145800</v>
      </c>
      <c r="AJ36" s="3784">
        <v>30000</v>
      </c>
      <c r="AK36" s="3784" t="s">
        <v>3927</v>
      </c>
      <c r="AL36" s="3784">
        <v>145800</v>
      </c>
      <c r="AM36" s="3784">
        <v>2007.95</v>
      </c>
      <c r="AN36" s="3784">
        <v>2007.95</v>
      </c>
      <c r="AO36" s="3784">
        <v>15060</v>
      </c>
      <c r="AP36" s="3786">
        <v>15060</v>
      </c>
      <c r="AQ36" s="3784" t="s">
        <v>3478</v>
      </c>
      <c r="AR36" s="3784" t="s">
        <v>3478</v>
      </c>
      <c r="AS36" s="3784">
        <v>0</v>
      </c>
      <c r="AT36" s="3784" t="s">
        <v>3635</v>
      </c>
      <c r="AU36" s="3784">
        <v>167600</v>
      </c>
      <c r="AV36" s="3784" t="s">
        <v>3926</v>
      </c>
      <c r="AW36" s="3784" t="s">
        <v>3480</v>
      </c>
      <c r="AX36" s="3784">
        <v>17311</v>
      </c>
      <c r="AY36" s="3784">
        <v>14.95</v>
      </c>
      <c r="AZ36" s="3784" t="s">
        <v>3478</v>
      </c>
    </row>
    <row r="37" spans="1:52">
      <c r="A37" s="3784" t="s">
        <v>3925</v>
      </c>
      <c r="B37" s="3784" t="s">
        <v>3378</v>
      </c>
      <c r="C37" s="3784" t="s">
        <v>3924</v>
      </c>
      <c r="D37" s="3784" t="s">
        <v>3608</v>
      </c>
      <c r="E37" s="3784" t="s">
        <v>3621</v>
      </c>
      <c r="F37" s="3784" t="s">
        <v>3710</v>
      </c>
      <c r="G37" s="3784" t="s">
        <v>3709</v>
      </c>
      <c r="H37" s="3784" t="s">
        <v>3438</v>
      </c>
      <c r="I37" s="3784">
        <v>56860.73</v>
      </c>
      <c r="J37" s="3784">
        <v>133065.75</v>
      </c>
      <c r="K37" s="3784" t="s">
        <v>3923</v>
      </c>
      <c r="L37" s="3784" t="s">
        <v>3439</v>
      </c>
      <c r="M37" s="3784" t="s">
        <v>3640</v>
      </c>
      <c r="N37" s="3784" t="s">
        <v>3441</v>
      </c>
      <c r="O37" s="3784" t="s">
        <v>3480</v>
      </c>
      <c r="P37" s="3784" t="s">
        <v>3478</v>
      </c>
      <c r="Q37" s="3784" t="s">
        <v>3478</v>
      </c>
      <c r="R37" s="3784" t="s">
        <v>3653</v>
      </c>
      <c r="S37" s="3784" t="s">
        <v>3652</v>
      </c>
      <c r="T37" s="3784" t="s">
        <v>3478</v>
      </c>
      <c r="U37" s="3784" t="s">
        <v>3478</v>
      </c>
      <c r="V37" s="3784" t="s">
        <v>3478</v>
      </c>
      <c r="W37" s="3784">
        <v>0</v>
      </c>
      <c r="X37" s="3784">
        <v>0</v>
      </c>
      <c r="Y37" s="3784">
        <v>0</v>
      </c>
      <c r="Z37" s="3787">
        <v>44188.000497685185</v>
      </c>
      <c r="AA37" s="3787">
        <v>44208.000497685185</v>
      </c>
      <c r="AB37" s="3787">
        <v>44222.000497685185</v>
      </c>
      <c r="AC37" s="3785">
        <v>44222.000497685185</v>
      </c>
      <c r="AD37" s="3784" t="s">
        <v>3922</v>
      </c>
      <c r="AE37" s="3784" t="s">
        <v>3442</v>
      </c>
      <c r="AF37" s="3784" t="s">
        <v>3921</v>
      </c>
      <c r="AG37" s="3784" t="s">
        <v>3836</v>
      </c>
      <c r="AH37" s="3784" t="s">
        <v>3644</v>
      </c>
      <c r="AI37" s="3784">
        <v>420000</v>
      </c>
      <c r="AJ37" s="3784">
        <v>85000</v>
      </c>
      <c r="AK37" s="3784" t="s">
        <v>3920</v>
      </c>
      <c r="AL37" s="3784">
        <v>465700</v>
      </c>
      <c r="AM37" s="3784">
        <v>4924.3100000000004</v>
      </c>
      <c r="AN37" s="3784">
        <v>5460.12</v>
      </c>
      <c r="AO37" s="3784">
        <v>31563</v>
      </c>
      <c r="AP37" s="3786">
        <v>34998</v>
      </c>
      <c r="AQ37" s="3784" t="s">
        <v>3478</v>
      </c>
      <c r="AR37" s="3784" t="s">
        <v>3478</v>
      </c>
      <c r="AS37" s="3784">
        <v>10.88</v>
      </c>
      <c r="AT37" s="3784" t="s">
        <v>3635</v>
      </c>
      <c r="AU37" s="3784" t="s">
        <v>3480</v>
      </c>
      <c r="AV37" s="3784" t="s">
        <v>3478</v>
      </c>
      <c r="AW37" s="3784" t="s">
        <v>3480</v>
      </c>
      <c r="AX37" s="3784" t="s">
        <v>3478</v>
      </c>
      <c r="AY37" s="3784" t="s">
        <v>3478</v>
      </c>
      <c r="AZ37" s="3784" t="s">
        <v>3478</v>
      </c>
    </row>
    <row r="38" spans="1:52" hidden="1">
      <c r="A38" s="3784" t="s">
        <v>3919</v>
      </c>
      <c r="B38" s="3784" t="s">
        <v>3378</v>
      </c>
      <c r="C38" s="3784" t="s">
        <v>3918</v>
      </c>
      <c r="D38" s="3784" t="s">
        <v>3608</v>
      </c>
      <c r="E38" s="3784" t="s">
        <v>3747</v>
      </c>
      <c r="F38" s="3784" t="s">
        <v>3769</v>
      </c>
      <c r="G38" s="3784" t="s">
        <v>3917</v>
      </c>
      <c r="H38" s="3784" t="s">
        <v>3455</v>
      </c>
      <c r="I38" s="3784">
        <v>63474.94</v>
      </c>
      <c r="J38" s="3784">
        <v>97252.05</v>
      </c>
      <c r="K38" s="3784" t="s">
        <v>3916</v>
      </c>
      <c r="L38" s="3784" t="s">
        <v>3439</v>
      </c>
      <c r="M38" s="3784" t="s">
        <v>3915</v>
      </c>
      <c r="N38" s="3784" t="s">
        <v>3441</v>
      </c>
      <c r="O38" s="3784">
        <v>15.76</v>
      </c>
      <c r="P38" s="3784" t="s">
        <v>3914</v>
      </c>
      <c r="Q38" s="3784" t="s">
        <v>3913</v>
      </c>
      <c r="R38" s="3784" t="s">
        <v>3653</v>
      </c>
      <c r="S38" s="3784" t="s">
        <v>3652</v>
      </c>
      <c r="T38" s="3784" t="s">
        <v>3478</v>
      </c>
      <c r="U38" s="3784" t="s">
        <v>3478</v>
      </c>
      <c r="V38" s="3784">
        <v>0</v>
      </c>
      <c r="W38" s="3784">
        <v>0</v>
      </c>
      <c r="X38" s="3784">
        <v>0</v>
      </c>
      <c r="Y38" s="3784">
        <v>0</v>
      </c>
      <c r="Z38" s="3787">
        <v>44174.000497685185</v>
      </c>
      <c r="AA38" s="3787">
        <v>44194.000497685185</v>
      </c>
      <c r="AB38" s="3787">
        <v>44209.000497685185</v>
      </c>
      <c r="AC38" s="3785">
        <v>44209.000497685185</v>
      </c>
      <c r="AD38" s="3784" t="s">
        <v>3912</v>
      </c>
      <c r="AE38" s="3784" t="s">
        <v>3442</v>
      </c>
      <c r="AF38" s="3784" t="s">
        <v>3911</v>
      </c>
      <c r="AG38" s="3784" t="s">
        <v>3612</v>
      </c>
      <c r="AH38" s="3784" t="s">
        <v>3595</v>
      </c>
      <c r="AI38" s="3784">
        <v>167300</v>
      </c>
      <c r="AJ38" s="3784">
        <v>33500</v>
      </c>
      <c r="AK38" s="3784" t="s">
        <v>3910</v>
      </c>
      <c r="AL38" s="3784">
        <v>182800</v>
      </c>
      <c r="AM38" s="3784">
        <v>1757.12</v>
      </c>
      <c r="AN38" s="3784">
        <v>1919.92</v>
      </c>
      <c r="AO38" s="3784">
        <v>17203</v>
      </c>
      <c r="AP38" s="3786">
        <v>18797</v>
      </c>
      <c r="AQ38" s="3784" t="s">
        <v>3478</v>
      </c>
      <c r="AR38" s="3784" t="s">
        <v>3478</v>
      </c>
      <c r="AS38" s="3784">
        <v>9.26</v>
      </c>
      <c r="AT38" s="3784" t="s">
        <v>3635</v>
      </c>
      <c r="AU38" s="3784" t="s">
        <v>3480</v>
      </c>
      <c r="AV38" s="3784" t="s">
        <v>3478</v>
      </c>
      <c r="AW38" s="3784" t="s">
        <v>3480</v>
      </c>
      <c r="AX38" s="3784" t="s">
        <v>3478</v>
      </c>
      <c r="AY38" s="3784" t="s">
        <v>3478</v>
      </c>
      <c r="AZ38" s="3784" t="s">
        <v>3478</v>
      </c>
    </row>
    <row r="39" spans="1:52">
      <c r="A39" s="3784" t="s">
        <v>3909</v>
      </c>
      <c r="B39" s="3784" t="s">
        <v>3378</v>
      </c>
      <c r="C39" s="3784" t="s">
        <v>3471</v>
      </c>
      <c r="D39" s="3784" t="s">
        <v>3608</v>
      </c>
      <c r="E39" s="3784" t="s">
        <v>3621</v>
      </c>
      <c r="F39" s="3784" t="s">
        <v>3908</v>
      </c>
      <c r="G39" s="3784" t="s">
        <v>3907</v>
      </c>
      <c r="H39" s="3784" t="s">
        <v>3455</v>
      </c>
      <c r="I39" s="3784">
        <v>43870.1</v>
      </c>
      <c r="J39" s="3784">
        <v>109675.25</v>
      </c>
      <c r="K39" s="3784" t="s">
        <v>3472</v>
      </c>
      <c r="L39" s="3784" t="s">
        <v>3439</v>
      </c>
      <c r="M39" s="3784" t="s">
        <v>3449</v>
      </c>
      <c r="N39" s="3784" t="s">
        <v>3441</v>
      </c>
      <c r="O39" s="3784" t="s">
        <v>3480</v>
      </c>
      <c r="P39" s="3784" t="s">
        <v>3478</v>
      </c>
      <c r="Q39" s="3784" t="s">
        <v>3906</v>
      </c>
      <c r="R39" s="3784" t="s">
        <v>3478</v>
      </c>
      <c r="S39" s="3784" t="s">
        <v>3478</v>
      </c>
      <c r="T39" s="3784" t="s">
        <v>3905</v>
      </c>
      <c r="U39" s="3784" t="s">
        <v>3904</v>
      </c>
      <c r="V39" s="3784">
        <v>0</v>
      </c>
      <c r="W39" s="3784">
        <v>0</v>
      </c>
      <c r="X39" s="3784">
        <v>0</v>
      </c>
      <c r="Y39" s="3784">
        <v>0</v>
      </c>
      <c r="Z39" s="3787">
        <v>44151.000497685185</v>
      </c>
      <c r="AA39" s="3787">
        <v>44172.000497685185</v>
      </c>
      <c r="AB39" s="3787">
        <v>44187.000497685185</v>
      </c>
      <c r="AC39" s="3785">
        <v>44187.000497685185</v>
      </c>
      <c r="AD39" s="3784" t="s">
        <v>3903</v>
      </c>
      <c r="AE39" s="3784" t="s">
        <v>3442</v>
      </c>
      <c r="AF39" s="3784" t="s">
        <v>3474</v>
      </c>
      <c r="AG39" s="3784" t="s">
        <v>3902</v>
      </c>
      <c r="AH39" s="3784" t="s">
        <v>3644</v>
      </c>
      <c r="AI39" s="3784">
        <v>148061.57999999999</v>
      </c>
      <c r="AJ39" s="3784">
        <v>45000</v>
      </c>
      <c r="AK39" s="3784" t="s">
        <v>3475</v>
      </c>
      <c r="AL39" s="3784">
        <v>148061.57999999999</v>
      </c>
      <c r="AM39" s="3784">
        <v>2250</v>
      </c>
      <c r="AN39" s="3784">
        <v>2250</v>
      </c>
      <c r="AO39" s="3784">
        <v>13500</v>
      </c>
      <c r="AP39" s="3786">
        <v>13500</v>
      </c>
      <c r="AQ39" s="3784" t="s">
        <v>3478</v>
      </c>
      <c r="AR39" s="3784" t="s">
        <v>3478</v>
      </c>
      <c r="AS39" s="3784">
        <v>0</v>
      </c>
      <c r="AT39" s="3784" t="s">
        <v>3901</v>
      </c>
      <c r="AU39" s="3784" t="s">
        <v>3480</v>
      </c>
      <c r="AV39" s="3784" t="s">
        <v>3478</v>
      </c>
      <c r="AW39" s="3784" t="s">
        <v>3480</v>
      </c>
      <c r="AX39" s="3784" t="s">
        <v>3478</v>
      </c>
      <c r="AY39" s="3784" t="s">
        <v>3478</v>
      </c>
      <c r="AZ39" s="3784" t="s">
        <v>3478</v>
      </c>
    </row>
    <row r="40" spans="1:52" s="3482" customFormat="1">
      <c r="A40" s="3788" t="s">
        <v>3900</v>
      </c>
      <c r="B40" s="3788" t="s">
        <v>3378</v>
      </c>
      <c r="C40" s="3788" t="s">
        <v>3899</v>
      </c>
      <c r="D40" s="3788" t="s">
        <v>3608</v>
      </c>
      <c r="E40" s="3788" t="s">
        <v>3621</v>
      </c>
      <c r="F40" s="3788" t="s">
        <v>3632</v>
      </c>
      <c r="G40" s="3788" t="s">
        <v>3898</v>
      </c>
      <c r="H40" s="3788" t="s">
        <v>3455</v>
      </c>
      <c r="I40" s="3788">
        <v>85128.1</v>
      </c>
      <c r="J40" s="3788">
        <v>201473.8</v>
      </c>
      <c r="K40" s="3788" t="s">
        <v>3897</v>
      </c>
      <c r="L40" s="3788" t="s">
        <v>3439</v>
      </c>
      <c r="M40" s="3788" t="s">
        <v>3896</v>
      </c>
      <c r="N40" s="3788" t="s">
        <v>3441</v>
      </c>
      <c r="O40" s="3788" t="s">
        <v>3480</v>
      </c>
      <c r="P40" s="3788" t="s">
        <v>3602</v>
      </c>
      <c r="Q40" s="3788" t="s">
        <v>3734</v>
      </c>
      <c r="R40" s="3788" t="s">
        <v>3653</v>
      </c>
      <c r="S40" s="3788" t="s">
        <v>3652</v>
      </c>
      <c r="T40" s="3788" t="s">
        <v>3478</v>
      </c>
      <c r="U40" s="3788" t="s">
        <v>3478</v>
      </c>
      <c r="V40" s="3788">
        <v>0</v>
      </c>
      <c r="W40" s="3788">
        <v>0</v>
      </c>
      <c r="X40" s="3788">
        <v>0</v>
      </c>
      <c r="Y40" s="3788">
        <v>0</v>
      </c>
      <c r="Z40" s="3789">
        <v>44012.000497685185</v>
      </c>
      <c r="AA40" s="3789">
        <v>44032.000497685185</v>
      </c>
      <c r="AB40" s="3789">
        <v>44046.000497685185</v>
      </c>
      <c r="AC40" s="3791">
        <v>44046.000497685185</v>
      </c>
      <c r="AD40" s="3788" t="s">
        <v>3895</v>
      </c>
      <c r="AE40" s="3788" t="s">
        <v>3442</v>
      </c>
      <c r="AF40" s="3788" t="s">
        <v>3626</v>
      </c>
      <c r="AG40" s="3788" t="s">
        <v>3625</v>
      </c>
      <c r="AH40" s="3788" t="s">
        <v>3624</v>
      </c>
      <c r="AI40" s="3788">
        <v>640000</v>
      </c>
      <c r="AJ40" s="3788">
        <v>128000</v>
      </c>
      <c r="AK40" s="3788" t="s">
        <v>3894</v>
      </c>
      <c r="AL40" s="3788">
        <v>790000</v>
      </c>
      <c r="AM40" s="3788">
        <v>5012.05</v>
      </c>
      <c r="AN40" s="3788">
        <v>6186.75</v>
      </c>
      <c r="AO40" s="3788">
        <v>31766</v>
      </c>
      <c r="AP40" s="3790">
        <v>39211</v>
      </c>
      <c r="AQ40" s="3788" t="s">
        <v>3478</v>
      </c>
      <c r="AR40" s="3788" t="s">
        <v>3478</v>
      </c>
      <c r="AS40" s="3788">
        <v>23.44</v>
      </c>
      <c r="AT40" s="3788" t="s">
        <v>3635</v>
      </c>
      <c r="AU40" s="3788" t="s">
        <v>3480</v>
      </c>
      <c r="AV40" s="3788" t="s">
        <v>3478</v>
      </c>
      <c r="AW40" s="3788" t="s">
        <v>3480</v>
      </c>
      <c r="AX40" s="3788" t="s">
        <v>3478</v>
      </c>
      <c r="AY40" s="3788" t="s">
        <v>3478</v>
      </c>
      <c r="AZ40" s="3788" t="s">
        <v>3478</v>
      </c>
    </row>
    <row r="41" spans="1:52" hidden="1">
      <c r="A41" s="3784" t="s">
        <v>3893</v>
      </c>
      <c r="B41" s="3784" t="s">
        <v>3378</v>
      </c>
      <c r="C41" s="3784" t="s">
        <v>3892</v>
      </c>
      <c r="D41" s="3784" t="s">
        <v>3608</v>
      </c>
      <c r="E41" s="3784" t="s">
        <v>3607</v>
      </c>
      <c r="F41" s="3784" t="s">
        <v>3757</v>
      </c>
      <c r="G41" s="3784" t="s">
        <v>3891</v>
      </c>
      <c r="H41" s="3784" t="s">
        <v>3455</v>
      </c>
      <c r="I41" s="3784">
        <v>41058.97</v>
      </c>
      <c r="J41" s="3784">
        <v>103031</v>
      </c>
      <c r="K41" s="3784" t="s">
        <v>3890</v>
      </c>
      <c r="L41" s="3784" t="s">
        <v>3439</v>
      </c>
      <c r="M41" s="3784" t="s">
        <v>3880</v>
      </c>
      <c r="N41" s="3784" t="s">
        <v>3441</v>
      </c>
      <c r="O41" s="3784">
        <v>5.73</v>
      </c>
      <c r="P41" s="3784" t="s">
        <v>3602</v>
      </c>
      <c r="Q41" s="3784" t="s">
        <v>3889</v>
      </c>
      <c r="R41" s="3784" t="s">
        <v>3653</v>
      </c>
      <c r="S41" s="3784" t="s">
        <v>3652</v>
      </c>
      <c r="T41" s="3784" t="s">
        <v>3478</v>
      </c>
      <c r="U41" s="3784" t="s">
        <v>3478</v>
      </c>
      <c r="V41" s="3784">
        <v>0</v>
      </c>
      <c r="W41" s="3784">
        <v>0</v>
      </c>
      <c r="X41" s="3784">
        <v>0</v>
      </c>
      <c r="Y41" s="3784">
        <v>0</v>
      </c>
      <c r="Z41" s="3787">
        <v>44000.000497685185</v>
      </c>
      <c r="AA41" s="3787">
        <v>44020.000497685185</v>
      </c>
      <c r="AB41" s="3787">
        <v>44034.000497685185</v>
      </c>
      <c r="AC41" s="3785">
        <v>44034.000497685185</v>
      </c>
      <c r="AD41" s="3784" t="s">
        <v>3888</v>
      </c>
      <c r="AE41" s="3784" t="s">
        <v>3442</v>
      </c>
      <c r="AF41" s="3784" t="s">
        <v>3887</v>
      </c>
      <c r="AG41" s="3784" t="s">
        <v>3886</v>
      </c>
      <c r="AH41" s="3784" t="s">
        <v>3885</v>
      </c>
      <c r="AI41" s="3784">
        <v>379500</v>
      </c>
      <c r="AJ41" s="3784">
        <v>76000</v>
      </c>
      <c r="AK41" s="3784" t="s">
        <v>3874</v>
      </c>
      <c r="AL41" s="3784">
        <v>480000</v>
      </c>
      <c r="AM41" s="3784">
        <v>6161.87</v>
      </c>
      <c r="AN41" s="3784">
        <v>7793.67</v>
      </c>
      <c r="AO41" s="3784">
        <v>36834</v>
      </c>
      <c r="AP41" s="3786">
        <v>46588</v>
      </c>
      <c r="AQ41" s="3784" t="s">
        <v>3478</v>
      </c>
      <c r="AR41" s="3784" t="s">
        <v>3478</v>
      </c>
      <c r="AS41" s="3784">
        <v>26.48</v>
      </c>
      <c r="AT41" s="3784" t="s">
        <v>3635</v>
      </c>
      <c r="AU41" s="3784" t="s">
        <v>3480</v>
      </c>
      <c r="AV41" s="3784" t="s">
        <v>3478</v>
      </c>
      <c r="AW41" s="3784" t="s">
        <v>3480</v>
      </c>
      <c r="AX41" s="3784" t="s">
        <v>3478</v>
      </c>
      <c r="AY41" s="3784" t="s">
        <v>3478</v>
      </c>
      <c r="AZ41" s="3784" t="s">
        <v>3478</v>
      </c>
    </row>
    <row r="42" spans="1:52" hidden="1">
      <c r="A42" s="3784" t="s">
        <v>3884</v>
      </c>
      <c r="B42" s="3784" t="s">
        <v>3378</v>
      </c>
      <c r="C42" s="3784" t="s">
        <v>3883</v>
      </c>
      <c r="D42" s="3784" t="s">
        <v>3608</v>
      </c>
      <c r="E42" s="3784" t="s">
        <v>3607</v>
      </c>
      <c r="F42" s="3784" t="s">
        <v>3757</v>
      </c>
      <c r="G42" s="3784" t="s">
        <v>3882</v>
      </c>
      <c r="H42" s="3784" t="s">
        <v>3455</v>
      </c>
      <c r="I42" s="3784">
        <v>44670.31</v>
      </c>
      <c r="J42" s="3784">
        <v>119857</v>
      </c>
      <c r="K42" s="3784" t="s">
        <v>3881</v>
      </c>
      <c r="L42" s="3784" t="s">
        <v>3439</v>
      </c>
      <c r="M42" s="3784" t="s">
        <v>3880</v>
      </c>
      <c r="N42" s="3784" t="s">
        <v>3441</v>
      </c>
      <c r="O42" s="3784">
        <v>39.799999999999997</v>
      </c>
      <c r="P42" s="3784" t="s">
        <v>3879</v>
      </c>
      <c r="Q42" s="3784" t="s">
        <v>3878</v>
      </c>
      <c r="R42" s="3784" t="s">
        <v>3653</v>
      </c>
      <c r="S42" s="3784" t="s">
        <v>3652</v>
      </c>
      <c r="T42" s="3784" t="s">
        <v>3478</v>
      </c>
      <c r="U42" s="3784" t="s">
        <v>3478</v>
      </c>
      <c r="V42" s="3784">
        <v>0</v>
      </c>
      <c r="W42" s="3784">
        <v>0</v>
      </c>
      <c r="X42" s="3784">
        <v>0</v>
      </c>
      <c r="Y42" s="3784">
        <v>0</v>
      </c>
      <c r="Z42" s="3787">
        <v>44000.000497685185</v>
      </c>
      <c r="AA42" s="3787">
        <v>44020.000497685185</v>
      </c>
      <c r="AB42" s="3787">
        <v>44034.000497685185</v>
      </c>
      <c r="AC42" s="3785">
        <v>44034.000497685185</v>
      </c>
      <c r="AD42" s="3784" t="s">
        <v>3877</v>
      </c>
      <c r="AE42" s="3784" t="s">
        <v>3442</v>
      </c>
      <c r="AF42" s="3784" t="s">
        <v>3876</v>
      </c>
      <c r="AG42" s="3784" t="s">
        <v>3875</v>
      </c>
      <c r="AH42" s="3784" t="s">
        <v>3662</v>
      </c>
      <c r="AI42" s="3784">
        <v>250300</v>
      </c>
      <c r="AJ42" s="3784">
        <v>50100</v>
      </c>
      <c r="AK42" s="3784" t="s">
        <v>3874</v>
      </c>
      <c r="AL42" s="3784">
        <v>296000</v>
      </c>
      <c r="AM42" s="3784">
        <v>3735.52</v>
      </c>
      <c r="AN42" s="3784">
        <v>4417.55</v>
      </c>
      <c r="AO42" s="3784">
        <v>20883</v>
      </c>
      <c r="AP42" s="3786">
        <v>24696</v>
      </c>
      <c r="AQ42" s="3784" t="s">
        <v>3478</v>
      </c>
      <c r="AR42" s="3784" t="s">
        <v>3478</v>
      </c>
      <c r="AS42" s="3784">
        <v>18.260000000000002</v>
      </c>
      <c r="AT42" s="3784" t="s">
        <v>3635</v>
      </c>
      <c r="AU42" s="3784" t="s">
        <v>3480</v>
      </c>
      <c r="AV42" s="3784" t="s">
        <v>3478</v>
      </c>
      <c r="AW42" s="3784" t="s">
        <v>3480</v>
      </c>
      <c r="AX42" s="3784" t="s">
        <v>3478</v>
      </c>
      <c r="AY42" s="3784" t="s">
        <v>3478</v>
      </c>
      <c r="AZ42" s="3784" t="s">
        <v>3478</v>
      </c>
    </row>
    <row r="43" spans="1:52" hidden="1">
      <c r="A43" s="3784" t="s">
        <v>3873</v>
      </c>
      <c r="B43" s="3784" t="s">
        <v>3378</v>
      </c>
      <c r="C43" s="3784" t="s">
        <v>3872</v>
      </c>
      <c r="D43" s="3784" t="s">
        <v>3608</v>
      </c>
      <c r="E43" s="3784" t="s">
        <v>3747</v>
      </c>
      <c r="F43" s="3784" t="s">
        <v>3871</v>
      </c>
      <c r="G43" s="3784" t="s">
        <v>3870</v>
      </c>
      <c r="H43" s="3784" t="s">
        <v>3438</v>
      </c>
      <c r="I43" s="3784">
        <v>47054</v>
      </c>
      <c r="J43" s="3784">
        <v>112930</v>
      </c>
      <c r="K43" s="3784" t="s">
        <v>3869</v>
      </c>
      <c r="L43" s="3784" t="s">
        <v>3439</v>
      </c>
      <c r="M43" s="3784" t="s">
        <v>3640</v>
      </c>
      <c r="N43" s="3784" t="s">
        <v>3441</v>
      </c>
      <c r="O43" s="3784" t="s">
        <v>3480</v>
      </c>
      <c r="P43" s="3784" t="s">
        <v>3602</v>
      </c>
      <c r="Q43" s="3784" t="s">
        <v>3802</v>
      </c>
      <c r="R43" s="3784" t="s">
        <v>3653</v>
      </c>
      <c r="S43" s="3784" t="s">
        <v>3652</v>
      </c>
      <c r="T43" s="3784" t="s">
        <v>3478</v>
      </c>
      <c r="U43" s="3784" t="s">
        <v>3478</v>
      </c>
      <c r="V43" s="3784">
        <v>0</v>
      </c>
      <c r="W43" s="3784">
        <v>0</v>
      </c>
      <c r="X43" s="3784">
        <v>0</v>
      </c>
      <c r="Y43" s="3784">
        <v>0</v>
      </c>
      <c r="Z43" s="3787">
        <v>43992.000497685185</v>
      </c>
      <c r="AA43" s="3787">
        <v>44012.000497685185</v>
      </c>
      <c r="AB43" s="3787">
        <v>44026.000497685185</v>
      </c>
      <c r="AC43" s="3785">
        <v>44026.000497685185</v>
      </c>
      <c r="AD43" s="3784" t="s">
        <v>3868</v>
      </c>
      <c r="AE43" s="3784" t="s">
        <v>3442</v>
      </c>
      <c r="AF43" s="3784" t="s">
        <v>3626</v>
      </c>
      <c r="AG43" s="3784" t="s">
        <v>3625</v>
      </c>
      <c r="AH43" s="3784" t="s">
        <v>3624</v>
      </c>
      <c r="AI43" s="3784">
        <v>283000</v>
      </c>
      <c r="AJ43" s="3784">
        <v>56600</v>
      </c>
      <c r="AK43" s="3784" t="s">
        <v>3867</v>
      </c>
      <c r="AL43" s="3784">
        <v>400000</v>
      </c>
      <c r="AM43" s="3784">
        <v>4009.58</v>
      </c>
      <c r="AN43" s="3784">
        <v>5667.25</v>
      </c>
      <c r="AO43" s="3784">
        <v>25060</v>
      </c>
      <c r="AP43" s="3786">
        <v>35420</v>
      </c>
      <c r="AQ43" s="3784" t="s">
        <v>3478</v>
      </c>
      <c r="AR43" s="3784" t="s">
        <v>3478</v>
      </c>
      <c r="AS43" s="3784">
        <v>41.34</v>
      </c>
      <c r="AT43" s="3784" t="s">
        <v>3815</v>
      </c>
      <c r="AU43" s="3784" t="s">
        <v>3480</v>
      </c>
      <c r="AV43" s="3784" t="s">
        <v>3478</v>
      </c>
      <c r="AW43" s="3784" t="s">
        <v>3480</v>
      </c>
      <c r="AX43" s="3784" t="s">
        <v>3478</v>
      </c>
      <c r="AY43" s="3784" t="s">
        <v>3478</v>
      </c>
      <c r="AZ43" s="3784" t="s">
        <v>3478</v>
      </c>
    </row>
    <row r="44" spans="1:52" hidden="1">
      <c r="A44" s="3784" t="s">
        <v>3866</v>
      </c>
      <c r="B44" s="3784" t="s">
        <v>3378</v>
      </c>
      <c r="C44" s="3784" t="s">
        <v>3865</v>
      </c>
      <c r="D44" s="3784" t="s">
        <v>3608</v>
      </c>
      <c r="E44" s="3784" t="s">
        <v>3607</v>
      </c>
      <c r="F44" s="3784" t="s">
        <v>3684</v>
      </c>
      <c r="G44" s="3784" t="s">
        <v>3839</v>
      </c>
      <c r="H44" s="3784" t="s">
        <v>3438</v>
      </c>
      <c r="I44" s="3784">
        <v>17831.97</v>
      </c>
      <c r="J44" s="3784">
        <v>55141</v>
      </c>
      <c r="K44" s="3784" t="s">
        <v>3726</v>
      </c>
      <c r="L44" s="3784" t="s">
        <v>3439</v>
      </c>
      <c r="M44" s="3784" t="s">
        <v>3640</v>
      </c>
      <c r="N44" s="3784" t="s">
        <v>3441</v>
      </c>
      <c r="O44" s="3784" t="s">
        <v>3480</v>
      </c>
      <c r="P44" s="3784" t="s">
        <v>3478</v>
      </c>
      <c r="Q44" s="3784" t="s">
        <v>3654</v>
      </c>
      <c r="R44" s="3784" t="s">
        <v>3653</v>
      </c>
      <c r="S44" s="3784" t="s">
        <v>3652</v>
      </c>
      <c r="T44" s="3784" t="s">
        <v>3478</v>
      </c>
      <c r="U44" s="3784" t="s">
        <v>3478</v>
      </c>
      <c r="V44" s="3784">
        <v>0</v>
      </c>
      <c r="W44" s="3784">
        <v>0</v>
      </c>
      <c r="X44" s="3784">
        <v>0</v>
      </c>
      <c r="Y44" s="3784">
        <v>0</v>
      </c>
      <c r="Z44" s="3787">
        <v>43936.000497685185</v>
      </c>
      <c r="AA44" s="3787">
        <v>43957.000497685185</v>
      </c>
      <c r="AB44" s="3787">
        <v>43970.000497685185</v>
      </c>
      <c r="AC44" s="3785">
        <v>43970.000497685185</v>
      </c>
      <c r="AD44" s="3784" t="s">
        <v>3864</v>
      </c>
      <c r="AE44" s="3784" t="s">
        <v>3442</v>
      </c>
      <c r="AF44" s="3784" t="s">
        <v>3863</v>
      </c>
      <c r="AG44" s="3784" t="s">
        <v>3836</v>
      </c>
      <c r="AH44" s="3784" t="s">
        <v>3644</v>
      </c>
      <c r="AI44" s="3784">
        <v>295600</v>
      </c>
      <c r="AJ44" s="3784">
        <v>59200</v>
      </c>
      <c r="AK44" s="3784" t="s">
        <v>3851</v>
      </c>
      <c r="AL44" s="3784">
        <v>420000</v>
      </c>
      <c r="AM44" s="3784">
        <v>11051.31</v>
      </c>
      <c r="AN44" s="3784">
        <v>15702.13</v>
      </c>
      <c r="AO44" s="3784">
        <v>53608</v>
      </c>
      <c r="AP44" s="3786">
        <v>76168</v>
      </c>
      <c r="AQ44" s="3784" t="s">
        <v>3478</v>
      </c>
      <c r="AR44" s="3784" t="s">
        <v>3478</v>
      </c>
      <c r="AS44" s="3784">
        <v>42.08</v>
      </c>
      <c r="AT44" s="3784" t="s">
        <v>3815</v>
      </c>
      <c r="AU44" s="3784" t="s">
        <v>3480</v>
      </c>
      <c r="AV44" s="3784" t="s">
        <v>3478</v>
      </c>
      <c r="AW44" s="3784" t="s">
        <v>3480</v>
      </c>
      <c r="AX44" s="3784" t="s">
        <v>3478</v>
      </c>
      <c r="AY44" s="3784" t="s">
        <v>3478</v>
      </c>
      <c r="AZ44" s="3784" t="s">
        <v>3478</v>
      </c>
    </row>
    <row r="45" spans="1:52" hidden="1">
      <c r="A45" s="3784" t="s">
        <v>3862</v>
      </c>
      <c r="B45" s="3784" t="s">
        <v>3378</v>
      </c>
      <c r="C45" s="3784" t="s">
        <v>3861</v>
      </c>
      <c r="D45" s="3784" t="s">
        <v>3608</v>
      </c>
      <c r="E45" s="3784" t="s">
        <v>3607</v>
      </c>
      <c r="F45" s="3784" t="s">
        <v>3684</v>
      </c>
      <c r="G45" s="3784" t="s">
        <v>3839</v>
      </c>
      <c r="H45" s="3784" t="s">
        <v>3438</v>
      </c>
      <c r="I45" s="3784">
        <v>29750.73</v>
      </c>
      <c r="J45" s="3784">
        <v>88484</v>
      </c>
      <c r="K45" s="3784" t="s">
        <v>3726</v>
      </c>
      <c r="L45" s="3784" t="s">
        <v>3439</v>
      </c>
      <c r="M45" s="3784" t="s">
        <v>3640</v>
      </c>
      <c r="N45" s="3784" t="s">
        <v>3441</v>
      </c>
      <c r="O45" s="3784" t="s">
        <v>3480</v>
      </c>
      <c r="P45" s="3784" t="s">
        <v>3478</v>
      </c>
      <c r="Q45" s="3784" t="s">
        <v>3654</v>
      </c>
      <c r="R45" s="3784" t="s">
        <v>3653</v>
      </c>
      <c r="S45" s="3784" t="s">
        <v>3652</v>
      </c>
      <c r="T45" s="3784" t="s">
        <v>3478</v>
      </c>
      <c r="U45" s="3784" t="s">
        <v>3478</v>
      </c>
      <c r="V45" s="3784">
        <v>0</v>
      </c>
      <c r="W45" s="3784">
        <v>0</v>
      </c>
      <c r="X45" s="3784">
        <v>0</v>
      </c>
      <c r="Y45" s="3784">
        <v>0</v>
      </c>
      <c r="Z45" s="3787">
        <v>43936.000497685185</v>
      </c>
      <c r="AA45" s="3787">
        <v>43957.000497685185</v>
      </c>
      <c r="AB45" s="3787">
        <v>43970.000497685185</v>
      </c>
      <c r="AC45" s="3785">
        <v>43970.000497685185</v>
      </c>
      <c r="AD45" s="3784" t="s">
        <v>3860</v>
      </c>
      <c r="AE45" s="3784" t="s">
        <v>3442</v>
      </c>
      <c r="AF45" s="3784" t="s">
        <v>3859</v>
      </c>
      <c r="AG45" s="3784" t="s">
        <v>3836</v>
      </c>
      <c r="AH45" s="3784" t="s">
        <v>3644</v>
      </c>
      <c r="AI45" s="3784">
        <v>474400</v>
      </c>
      <c r="AJ45" s="3784">
        <v>95000</v>
      </c>
      <c r="AK45" s="3784" t="s">
        <v>3851</v>
      </c>
      <c r="AL45" s="3784">
        <v>654000</v>
      </c>
      <c r="AM45" s="3784">
        <v>10630.55</v>
      </c>
      <c r="AN45" s="3784">
        <v>14655.1</v>
      </c>
      <c r="AO45" s="3784">
        <v>53614</v>
      </c>
      <c r="AP45" s="3786">
        <v>73912</v>
      </c>
      <c r="AQ45" s="3784" t="s">
        <v>3478</v>
      </c>
      <c r="AR45" s="3784" t="s">
        <v>3478</v>
      </c>
      <c r="AS45" s="3784">
        <v>37.86</v>
      </c>
      <c r="AT45" s="3784" t="s">
        <v>3815</v>
      </c>
      <c r="AU45" s="3784" t="s">
        <v>3480</v>
      </c>
      <c r="AV45" s="3784" t="s">
        <v>3478</v>
      </c>
      <c r="AW45" s="3784" t="s">
        <v>3480</v>
      </c>
      <c r="AX45" s="3784" t="s">
        <v>3478</v>
      </c>
      <c r="AY45" s="3784" t="s">
        <v>3478</v>
      </c>
      <c r="AZ45" s="3784" t="s">
        <v>3478</v>
      </c>
    </row>
    <row r="46" spans="1:52" hidden="1">
      <c r="A46" s="3784" t="s">
        <v>3858</v>
      </c>
      <c r="B46" s="3784" t="s">
        <v>3378</v>
      </c>
      <c r="C46" s="3784" t="s">
        <v>3857</v>
      </c>
      <c r="D46" s="3784" t="s">
        <v>3608</v>
      </c>
      <c r="E46" s="3784" t="s">
        <v>3747</v>
      </c>
      <c r="F46" s="3784" t="s">
        <v>3746</v>
      </c>
      <c r="G46" s="3784" t="s">
        <v>3745</v>
      </c>
      <c r="H46" s="3784" t="s">
        <v>3438</v>
      </c>
      <c r="I46" s="3784">
        <v>87651.29</v>
      </c>
      <c r="J46" s="3784">
        <v>140242</v>
      </c>
      <c r="K46" s="3784" t="s">
        <v>3856</v>
      </c>
      <c r="L46" s="3784" t="s">
        <v>3439</v>
      </c>
      <c r="M46" s="3784" t="s">
        <v>3640</v>
      </c>
      <c r="N46" s="3784" t="s">
        <v>3441</v>
      </c>
      <c r="O46" s="3784" t="s">
        <v>3480</v>
      </c>
      <c r="P46" s="3784" t="s">
        <v>3602</v>
      </c>
      <c r="Q46" s="3784" t="s">
        <v>3855</v>
      </c>
      <c r="R46" s="3784" t="s">
        <v>3600</v>
      </c>
      <c r="S46" s="3784" t="s">
        <v>3599</v>
      </c>
      <c r="T46" s="3784" t="s">
        <v>3672</v>
      </c>
      <c r="U46" s="3784" t="s">
        <v>3478</v>
      </c>
      <c r="V46" s="3784">
        <v>0</v>
      </c>
      <c r="W46" s="3784">
        <v>0</v>
      </c>
      <c r="X46" s="3784">
        <v>31882</v>
      </c>
      <c r="Y46" s="3784">
        <v>31882</v>
      </c>
      <c r="Z46" s="3787">
        <v>43934.000497685185</v>
      </c>
      <c r="AA46" s="3787">
        <v>43957.000497685185</v>
      </c>
      <c r="AB46" s="3787">
        <v>43970.000497685185</v>
      </c>
      <c r="AC46" s="3785">
        <v>43970.000497685185</v>
      </c>
      <c r="AD46" s="3784" t="s">
        <v>3854</v>
      </c>
      <c r="AE46" s="3784" t="s">
        <v>3442</v>
      </c>
      <c r="AF46" s="3784" t="s">
        <v>3853</v>
      </c>
      <c r="AG46" s="3784" t="s">
        <v>3852</v>
      </c>
      <c r="AH46" s="3784" t="s">
        <v>3624</v>
      </c>
      <c r="AI46" s="3784">
        <v>201600</v>
      </c>
      <c r="AJ46" s="3784">
        <v>41000</v>
      </c>
      <c r="AK46" s="3784" t="s">
        <v>3851</v>
      </c>
      <c r="AL46" s="3784">
        <v>265000</v>
      </c>
      <c r="AM46" s="3784">
        <v>1533.35</v>
      </c>
      <c r="AN46" s="3784">
        <v>2015.56</v>
      </c>
      <c r="AO46" s="3784">
        <v>14375</v>
      </c>
      <c r="AP46" s="3786">
        <v>18896</v>
      </c>
      <c r="AQ46" s="3784" t="s">
        <v>3478</v>
      </c>
      <c r="AR46" s="3784" t="s">
        <v>3478</v>
      </c>
      <c r="AS46" s="3784">
        <v>31.45</v>
      </c>
      <c r="AT46" s="3784" t="s">
        <v>3815</v>
      </c>
      <c r="AU46" s="3784" t="s">
        <v>3480</v>
      </c>
      <c r="AV46" s="3784" t="s">
        <v>3478</v>
      </c>
      <c r="AW46" s="3784">
        <v>28000</v>
      </c>
      <c r="AX46" s="3784" t="s">
        <v>3478</v>
      </c>
      <c r="AY46" s="3784" t="s">
        <v>3478</v>
      </c>
      <c r="AZ46" s="3784">
        <v>13625</v>
      </c>
    </row>
    <row r="47" spans="1:52">
      <c r="A47" s="3784" t="s">
        <v>3850</v>
      </c>
      <c r="B47" s="3784" t="s">
        <v>3378</v>
      </c>
      <c r="C47" s="3784" t="s">
        <v>3849</v>
      </c>
      <c r="D47" s="3784" t="s">
        <v>3608</v>
      </c>
      <c r="E47" s="3784" t="s">
        <v>3621</v>
      </c>
      <c r="F47" s="3784" t="s">
        <v>3785</v>
      </c>
      <c r="G47" s="3784" t="s">
        <v>3784</v>
      </c>
      <c r="H47" s="3784" t="s">
        <v>3455</v>
      </c>
      <c r="I47" s="3784">
        <v>76997.05</v>
      </c>
      <c r="J47" s="3784">
        <v>79371.899999999994</v>
      </c>
      <c r="K47" s="3784" t="s">
        <v>3848</v>
      </c>
      <c r="L47" s="3784" t="s">
        <v>3439</v>
      </c>
      <c r="M47" s="3784" t="s">
        <v>3847</v>
      </c>
      <c r="N47" s="3784" t="s">
        <v>3441</v>
      </c>
      <c r="O47" s="3784" t="s">
        <v>3480</v>
      </c>
      <c r="P47" s="3784" t="s">
        <v>3602</v>
      </c>
      <c r="Q47" s="3784" t="s">
        <v>3846</v>
      </c>
      <c r="R47" s="3784" t="s">
        <v>3653</v>
      </c>
      <c r="S47" s="3784" t="s">
        <v>3652</v>
      </c>
      <c r="T47" s="3784" t="s">
        <v>3478</v>
      </c>
      <c r="U47" s="3784" t="s">
        <v>3478</v>
      </c>
      <c r="V47" s="3784">
        <v>0</v>
      </c>
      <c r="W47" s="3784">
        <v>0</v>
      </c>
      <c r="X47" s="3784">
        <v>0</v>
      </c>
      <c r="Y47" s="3784">
        <v>0</v>
      </c>
      <c r="Z47" s="3787">
        <v>43920.000497685185</v>
      </c>
      <c r="AA47" s="3787">
        <v>43950.000497685185</v>
      </c>
      <c r="AB47" s="3787">
        <v>43966.000497685185</v>
      </c>
      <c r="AC47" s="3785">
        <v>43966.000497685185</v>
      </c>
      <c r="AD47" s="3784" t="s">
        <v>3845</v>
      </c>
      <c r="AE47" s="3784" t="s">
        <v>3442</v>
      </c>
      <c r="AF47" s="3784" t="s">
        <v>3844</v>
      </c>
      <c r="AG47" s="3784" t="s">
        <v>3843</v>
      </c>
      <c r="AH47" s="3784" t="s">
        <v>3644</v>
      </c>
      <c r="AI47" s="3784">
        <v>98500</v>
      </c>
      <c r="AJ47" s="3784">
        <v>19800</v>
      </c>
      <c r="AK47" s="3784" t="s">
        <v>3842</v>
      </c>
      <c r="AL47" s="3784">
        <v>130000</v>
      </c>
      <c r="AM47" s="3784">
        <v>852.85</v>
      </c>
      <c r="AN47" s="3784">
        <v>1125.58</v>
      </c>
      <c r="AO47" s="3784">
        <v>12410</v>
      </c>
      <c r="AP47" s="3786">
        <v>16379</v>
      </c>
      <c r="AQ47" s="3784" t="s">
        <v>3478</v>
      </c>
      <c r="AR47" s="3784" t="s">
        <v>3478</v>
      </c>
      <c r="AS47" s="3784">
        <v>31.98</v>
      </c>
      <c r="AT47" s="3784" t="s">
        <v>3635</v>
      </c>
      <c r="AU47" s="3784" t="s">
        <v>3480</v>
      </c>
      <c r="AV47" s="3784" t="s">
        <v>3478</v>
      </c>
      <c r="AW47" s="3784" t="s">
        <v>3480</v>
      </c>
      <c r="AX47" s="3784" t="s">
        <v>3478</v>
      </c>
      <c r="AY47" s="3784" t="s">
        <v>3478</v>
      </c>
      <c r="AZ47" s="3784" t="s">
        <v>3478</v>
      </c>
    </row>
    <row r="48" spans="1:52" hidden="1">
      <c r="A48" s="3784" t="s">
        <v>3841</v>
      </c>
      <c r="B48" s="3784" t="s">
        <v>3378</v>
      </c>
      <c r="C48" s="3784" t="s">
        <v>3840</v>
      </c>
      <c r="D48" s="3784" t="s">
        <v>3608</v>
      </c>
      <c r="E48" s="3784" t="s">
        <v>3607</v>
      </c>
      <c r="F48" s="3784" t="s">
        <v>3684</v>
      </c>
      <c r="G48" s="3784" t="s">
        <v>3839</v>
      </c>
      <c r="H48" s="3784" t="s">
        <v>3438</v>
      </c>
      <c r="I48" s="3784">
        <v>33194.400000000001</v>
      </c>
      <c r="J48" s="3784">
        <v>107437</v>
      </c>
      <c r="K48" s="3784" t="s">
        <v>3726</v>
      </c>
      <c r="L48" s="3784" t="s">
        <v>3439</v>
      </c>
      <c r="M48" s="3784" t="s">
        <v>3640</v>
      </c>
      <c r="N48" s="3784" t="s">
        <v>3441</v>
      </c>
      <c r="O48" s="3784" t="s">
        <v>3480</v>
      </c>
      <c r="P48" s="3784" t="s">
        <v>3602</v>
      </c>
      <c r="Q48" s="3784" t="s">
        <v>3654</v>
      </c>
      <c r="R48" s="3784" t="s">
        <v>3653</v>
      </c>
      <c r="S48" s="3784" t="s">
        <v>3652</v>
      </c>
      <c r="T48" s="3784" t="s">
        <v>3478</v>
      </c>
      <c r="U48" s="3784" t="s">
        <v>3478</v>
      </c>
      <c r="V48" s="3784">
        <v>0</v>
      </c>
      <c r="W48" s="3784">
        <v>0</v>
      </c>
      <c r="X48" s="3784">
        <v>0</v>
      </c>
      <c r="Y48" s="3784">
        <v>0</v>
      </c>
      <c r="Z48" s="3787">
        <v>43917.000497685185</v>
      </c>
      <c r="AA48" s="3787">
        <v>43944.000497685185</v>
      </c>
      <c r="AB48" s="3787">
        <v>43960.000497685185</v>
      </c>
      <c r="AC48" s="3785">
        <v>43960.000497685185</v>
      </c>
      <c r="AD48" s="3784" t="s">
        <v>3838</v>
      </c>
      <c r="AE48" s="3784" t="s">
        <v>3442</v>
      </c>
      <c r="AF48" s="3784" t="s">
        <v>3837</v>
      </c>
      <c r="AG48" s="3784" t="s">
        <v>3836</v>
      </c>
      <c r="AH48" s="3784" t="s">
        <v>3644</v>
      </c>
      <c r="AI48" s="3784">
        <v>571900</v>
      </c>
      <c r="AJ48" s="3784">
        <v>114400</v>
      </c>
      <c r="AK48" s="3784" t="s">
        <v>3835</v>
      </c>
      <c r="AL48" s="3784">
        <v>722000</v>
      </c>
      <c r="AM48" s="3784">
        <v>11485.87</v>
      </c>
      <c r="AN48" s="3784">
        <v>14500.44</v>
      </c>
      <c r="AO48" s="3784">
        <v>53231</v>
      </c>
      <c r="AP48" s="3786">
        <v>67202</v>
      </c>
      <c r="AQ48" s="3784" t="s">
        <v>3478</v>
      </c>
      <c r="AR48" s="3784" t="s">
        <v>3478</v>
      </c>
      <c r="AS48" s="3784">
        <v>26.25</v>
      </c>
      <c r="AT48" s="3784" t="s">
        <v>3815</v>
      </c>
      <c r="AU48" s="3784" t="s">
        <v>3480</v>
      </c>
      <c r="AV48" s="3784" t="s">
        <v>3478</v>
      </c>
      <c r="AW48" s="3784" t="s">
        <v>3480</v>
      </c>
      <c r="AX48" s="3784" t="s">
        <v>3478</v>
      </c>
      <c r="AY48" s="3784" t="s">
        <v>3478</v>
      </c>
      <c r="AZ48" s="3784" t="s">
        <v>3478</v>
      </c>
    </row>
    <row r="49" spans="1:52">
      <c r="A49" s="3784" t="s">
        <v>3834</v>
      </c>
      <c r="B49" s="3784" t="s">
        <v>3378</v>
      </c>
      <c r="C49" s="3784" t="s">
        <v>3833</v>
      </c>
      <c r="D49" s="3784" t="s">
        <v>3608</v>
      </c>
      <c r="E49" s="3784" t="s">
        <v>3621</v>
      </c>
      <c r="F49" s="3784" t="s">
        <v>3825</v>
      </c>
      <c r="G49" s="3784" t="s">
        <v>3824</v>
      </c>
      <c r="H49" s="3784" t="s">
        <v>3438</v>
      </c>
      <c r="I49" s="3784">
        <v>45081.99</v>
      </c>
      <c r="J49" s="3784">
        <v>94672</v>
      </c>
      <c r="K49" s="3784" t="s">
        <v>3832</v>
      </c>
      <c r="L49" s="3784" t="s">
        <v>3439</v>
      </c>
      <c r="M49" s="3784" t="s">
        <v>3640</v>
      </c>
      <c r="N49" s="3784" t="s">
        <v>3441</v>
      </c>
      <c r="O49" s="3784" t="s">
        <v>3480</v>
      </c>
      <c r="P49" s="3784" t="s">
        <v>3602</v>
      </c>
      <c r="Q49" s="3784" t="s">
        <v>3754</v>
      </c>
      <c r="R49" s="3784" t="s">
        <v>3616</v>
      </c>
      <c r="S49" s="3784" t="s">
        <v>3615</v>
      </c>
      <c r="T49" s="3784" t="s">
        <v>3478</v>
      </c>
      <c r="U49" s="3784" t="s">
        <v>3478</v>
      </c>
      <c r="V49" s="3784">
        <v>0</v>
      </c>
      <c r="W49" s="3784">
        <v>0</v>
      </c>
      <c r="X49" s="3784">
        <v>0</v>
      </c>
      <c r="Y49" s="3784">
        <v>0</v>
      </c>
      <c r="Z49" s="3787">
        <v>43917.000497685185</v>
      </c>
      <c r="AA49" s="3787">
        <v>43937.000497685185</v>
      </c>
      <c r="AB49" s="3787">
        <v>43950.000497685185</v>
      </c>
      <c r="AC49" s="3785">
        <v>43950.000497685185</v>
      </c>
      <c r="AD49" s="3784" t="s">
        <v>3831</v>
      </c>
      <c r="AE49" s="3784" t="s">
        <v>3442</v>
      </c>
      <c r="AF49" s="3784" t="s">
        <v>3830</v>
      </c>
      <c r="AG49" s="3784" t="s">
        <v>3829</v>
      </c>
      <c r="AH49" s="3784" t="s">
        <v>3828</v>
      </c>
      <c r="AI49" s="3784">
        <v>363000</v>
      </c>
      <c r="AJ49" s="3784">
        <v>72600</v>
      </c>
      <c r="AK49" s="3784" t="s">
        <v>3816</v>
      </c>
      <c r="AL49" s="3784">
        <v>374000</v>
      </c>
      <c r="AM49" s="3784">
        <v>5368</v>
      </c>
      <c r="AN49" s="3784">
        <v>5530.66</v>
      </c>
      <c r="AO49" s="3784">
        <v>38343</v>
      </c>
      <c r="AP49" s="3786">
        <v>39505</v>
      </c>
      <c r="AQ49" s="3784" t="s">
        <v>3478</v>
      </c>
      <c r="AR49" s="3784" t="s">
        <v>3478</v>
      </c>
      <c r="AS49" s="3784">
        <v>3.03</v>
      </c>
      <c r="AT49" s="3784" t="s">
        <v>3815</v>
      </c>
      <c r="AU49" s="3784" t="s">
        <v>3480</v>
      </c>
      <c r="AV49" s="3784" t="s">
        <v>3478</v>
      </c>
      <c r="AW49" s="3784">
        <v>64400</v>
      </c>
      <c r="AX49" s="3784" t="s">
        <v>3478</v>
      </c>
      <c r="AY49" s="3784" t="s">
        <v>3478</v>
      </c>
      <c r="AZ49" s="3784">
        <v>26057</v>
      </c>
    </row>
    <row r="50" spans="1:52">
      <c r="A50" s="3784" t="s">
        <v>3827</v>
      </c>
      <c r="B50" s="3784" t="s">
        <v>3378</v>
      </c>
      <c r="C50" s="3784" t="s">
        <v>3826</v>
      </c>
      <c r="D50" s="3784" t="s">
        <v>3608</v>
      </c>
      <c r="E50" s="3784" t="s">
        <v>3621</v>
      </c>
      <c r="F50" s="3784" t="s">
        <v>3825</v>
      </c>
      <c r="G50" s="3784" t="s">
        <v>3824</v>
      </c>
      <c r="H50" s="3784" t="s">
        <v>3455</v>
      </c>
      <c r="I50" s="3784">
        <v>60977.68</v>
      </c>
      <c r="J50" s="3784">
        <v>128053</v>
      </c>
      <c r="K50" s="3784" t="s">
        <v>3823</v>
      </c>
      <c r="L50" s="3784" t="s">
        <v>3439</v>
      </c>
      <c r="M50" s="3784" t="s">
        <v>3822</v>
      </c>
      <c r="N50" s="3784" t="s">
        <v>3441</v>
      </c>
      <c r="O50" s="3784" t="s">
        <v>3480</v>
      </c>
      <c r="P50" s="3784" t="s">
        <v>3602</v>
      </c>
      <c r="Q50" s="3784" t="s">
        <v>3754</v>
      </c>
      <c r="R50" s="3784" t="s">
        <v>3821</v>
      </c>
      <c r="S50" s="3784" t="s">
        <v>3820</v>
      </c>
      <c r="T50" s="3784" t="s">
        <v>3478</v>
      </c>
      <c r="U50" s="3784" t="s">
        <v>3478</v>
      </c>
      <c r="V50" s="3784">
        <v>52520</v>
      </c>
      <c r="W50" s="3784">
        <v>52520</v>
      </c>
      <c r="X50" s="3784">
        <v>0</v>
      </c>
      <c r="Y50" s="3784">
        <v>0</v>
      </c>
      <c r="Z50" s="3787">
        <v>43917.000497685185</v>
      </c>
      <c r="AA50" s="3787">
        <v>43937.000497685185</v>
      </c>
      <c r="AB50" s="3787">
        <v>43950.000497685185</v>
      </c>
      <c r="AC50" s="3785">
        <v>43950.000497685185</v>
      </c>
      <c r="AD50" s="3784" t="s">
        <v>3819</v>
      </c>
      <c r="AE50" s="3784" t="s">
        <v>3442</v>
      </c>
      <c r="AF50" s="3784" t="s">
        <v>3818</v>
      </c>
      <c r="AG50" s="3784" t="s">
        <v>3817</v>
      </c>
      <c r="AH50" s="3784" t="s">
        <v>3644</v>
      </c>
      <c r="AI50" s="3784">
        <v>273800</v>
      </c>
      <c r="AJ50" s="3784">
        <v>55000</v>
      </c>
      <c r="AK50" s="3784" t="s">
        <v>3816</v>
      </c>
      <c r="AL50" s="3784">
        <v>294000</v>
      </c>
      <c r="AM50" s="3784">
        <v>2993.45</v>
      </c>
      <c r="AN50" s="3784">
        <v>3214.29</v>
      </c>
      <c r="AO50" s="3784">
        <v>21382</v>
      </c>
      <c r="AP50" s="3786">
        <v>22959</v>
      </c>
      <c r="AQ50" s="3784">
        <v>36249</v>
      </c>
      <c r="AR50" s="3784">
        <v>38923</v>
      </c>
      <c r="AS50" s="3784">
        <v>7.38</v>
      </c>
      <c r="AT50" s="3784" t="s">
        <v>3815</v>
      </c>
      <c r="AU50" s="3784" t="s">
        <v>3480</v>
      </c>
      <c r="AV50" s="3784" t="s">
        <v>3478</v>
      </c>
      <c r="AW50" s="3784">
        <v>64400</v>
      </c>
      <c r="AX50" s="3784" t="s">
        <v>3478</v>
      </c>
      <c r="AY50" s="3784" t="s">
        <v>3478</v>
      </c>
      <c r="AZ50" s="3784">
        <v>43018</v>
      </c>
    </row>
    <row r="51" spans="1:52" hidden="1">
      <c r="A51" s="3784" t="s">
        <v>3814</v>
      </c>
      <c r="B51" s="3784" t="s">
        <v>3378</v>
      </c>
      <c r="C51" s="3784" t="s">
        <v>3813</v>
      </c>
      <c r="D51" s="3784" t="s">
        <v>3608</v>
      </c>
      <c r="E51" s="3784" t="s">
        <v>3747</v>
      </c>
      <c r="F51" s="3784" t="s">
        <v>3769</v>
      </c>
      <c r="G51" s="3784" t="s">
        <v>3768</v>
      </c>
      <c r="H51" s="3784" t="s">
        <v>3455</v>
      </c>
      <c r="I51" s="3784">
        <v>56727.74</v>
      </c>
      <c r="J51" s="3784">
        <v>133882</v>
      </c>
      <c r="K51" s="3784" t="s">
        <v>3812</v>
      </c>
      <c r="L51" s="3784" t="s">
        <v>3439</v>
      </c>
      <c r="M51" s="3784" t="s">
        <v>3811</v>
      </c>
      <c r="N51" s="3784" t="s">
        <v>3441</v>
      </c>
      <c r="O51" s="3784" t="s">
        <v>3480</v>
      </c>
      <c r="P51" s="3784" t="s">
        <v>3810</v>
      </c>
      <c r="Q51" s="3784" t="s">
        <v>3809</v>
      </c>
      <c r="R51" s="3784" t="s">
        <v>3616</v>
      </c>
      <c r="S51" s="3784" t="s">
        <v>3615</v>
      </c>
      <c r="T51" s="3784" t="s">
        <v>3478</v>
      </c>
      <c r="U51" s="3784" t="s">
        <v>3478</v>
      </c>
      <c r="V51" s="3784">
        <v>0</v>
      </c>
      <c r="W51" s="3784">
        <v>0</v>
      </c>
      <c r="X51" s="3784">
        <v>0</v>
      </c>
      <c r="Y51" s="3784">
        <v>0</v>
      </c>
      <c r="Z51" s="3787">
        <v>43910.000497685185</v>
      </c>
      <c r="AA51" s="3787">
        <v>43930.000497685185</v>
      </c>
      <c r="AB51" s="3787">
        <v>43944.000497685185</v>
      </c>
      <c r="AC51" s="3785">
        <v>43944.000497685185</v>
      </c>
      <c r="AD51" s="3784" t="s">
        <v>3808</v>
      </c>
      <c r="AE51" s="3784" t="s">
        <v>3442</v>
      </c>
      <c r="AF51" s="3784" t="s">
        <v>3807</v>
      </c>
      <c r="AG51" s="3784" t="s">
        <v>3806</v>
      </c>
      <c r="AH51" s="3784" t="s">
        <v>3644</v>
      </c>
      <c r="AI51" s="3784">
        <v>139000</v>
      </c>
      <c r="AJ51" s="3784">
        <v>28000</v>
      </c>
      <c r="AK51" s="3784" t="s">
        <v>3805</v>
      </c>
      <c r="AL51" s="3784">
        <v>185000</v>
      </c>
      <c r="AM51" s="3784">
        <v>1633.53</v>
      </c>
      <c r="AN51" s="3784">
        <v>2174.13</v>
      </c>
      <c r="AO51" s="3784">
        <v>10382</v>
      </c>
      <c r="AP51" s="3786">
        <v>13818</v>
      </c>
      <c r="AQ51" s="3784" t="s">
        <v>3478</v>
      </c>
      <c r="AR51" s="3784" t="s">
        <v>3478</v>
      </c>
      <c r="AS51" s="3784">
        <v>33.090000000000003</v>
      </c>
      <c r="AT51" s="3784" t="s">
        <v>3635</v>
      </c>
      <c r="AU51" s="3784" t="s">
        <v>3480</v>
      </c>
      <c r="AV51" s="3784" t="s">
        <v>3478</v>
      </c>
      <c r="AW51" s="3784">
        <v>35344</v>
      </c>
      <c r="AX51" s="3784" t="s">
        <v>3478</v>
      </c>
      <c r="AY51" s="3784" t="s">
        <v>3478</v>
      </c>
      <c r="AZ51" s="3784">
        <v>24962</v>
      </c>
    </row>
    <row r="52" spans="1:52">
      <c r="A52" s="3478" t="s">
        <v>3804</v>
      </c>
      <c r="B52" s="3478" t="s">
        <v>3378</v>
      </c>
      <c r="C52" s="3478" t="s">
        <v>3803</v>
      </c>
      <c r="D52" s="3478" t="s">
        <v>3608</v>
      </c>
      <c r="E52" s="3478" t="s">
        <v>3621</v>
      </c>
      <c r="F52" s="3478" t="s">
        <v>3785</v>
      </c>
      <c r="G52" s="3478" t="s">
        <v>3784</v>
      </c>
      <c r="H52" s="3478" t="s">
        <v>3438</v>
      </c>
      <c r="I52" s="3478">
        <v>20403.86</v>
      </c>
      <c r="J52" s="3478">
        <v>51009</v>
      </c>
      <c r="K52" s="3478" t="s">
        <v>3472</v>
      </c>
      <c r="L52" s="3478" t="s">
        <v>3439</v>
      </c>
      <c r="M52" s="3478" t="s">
        <v>3640</v>
      </c>
      <c r="N52" s="3478" t="s">
        <v>3441</v>
      </c>
      <c r="O52" s="3478" t="s">
        <v>3480</v>
      </c>
      <c r="P52" s="3478" t="s">
        <v>3602</v>
      </c>
      <c r="Q52" s="3478" t="s">
        <v>3802</v>
      </c>
      <c r="R52" s="3478" t="s">
        <v>3653</v>
      </c>
      <c r="S52" s="3478" t="s">
        <v>3652</v>
      </c>
      <c r="T52" s="3478" t="s">
        <v>3478</v>
      </c>
      <c r="U52" s="3478" t="s">
        <v>3478</v>
      </c>
      <c r="V52" s="3478">
        <v>0</v>
      </c>
      <c r="W52" s="3478">
        <v>0</v>
      </c>
      <c r="X52" s="3478">
        <v>0</v>
      </c>
      <c r="Y52" s="3478">
        <v>0</v>
      </c>
      <c r="Z52" s="3481">
        <v>43830.000497685185</v>
      </c>
      <c r="AA52" s="3481">
        <v>43865.000497685185</v>
      </c>
      <c r="AB52" s="3481">
        <v>43879.000497685185</v>
      </c>
      <c r="AC52" s="3480">
        <v>43879.000497685185</v>
      </c>
      <c r="AD52" s="3478" t="s">
        <v>3801</v>
      </c>
      <c r="AE52" s="3478" t="s">
        <v>3442</v>
      </c>
      <c r="AF52" s="3478" t="s">
        <v>3800</v>
      </c>
      <c r="AG52" s="3478" t="s">
        <v>3799</v>
      </c>
      <c r="AH52" s="3478" t="s">
        <v>3798</v>
      </c>
      <c r="AI52" s="3478">
        <v>65600</v>
      </c>
      <c r="AJ52" s="3478">
        <v>13200</v>
      </c>
      <c r="AK52" s="3478" t="s">
        <v>3788</v>
      </c>
      <c r="AL52" s="3478">
        <v>65600</v>
      </c>
      <c r="AM52" s="3478">
        <v>2143.39</v>
      </c>
      <c r="AN52" s="3478">
        <v>2143.39</v>
      </c>
      <c r="AO52" s="3478">
        <v>12860</v>
      </c>
      <c r="AP52" s="3479">
        <v>12860</v>
      </c>
      <c r="AQ52" s="3478" t="s">
        <v>3478</v>
      </c>
      <c r="AR52" s="3478" t="s">
        <v>3478</v>
      </c>
      <c r="AS52" s="3478">
        <v>0</v>
      </c>
      <c r="AT52" s="3478" t="s">
        <v>3635</v>
      </c>
      <c r="AU52" s="3478" t="s">
        <v>3480</v>
      </c>
      <c r="AV52" s="3478" t="s">
        <v>3478</v>
      </c>
      <c r="AW52" s="3478" t="s">
        <v>3480</v>
      </c>
      <c r="AX52" s="3478" t="s">
        <v>3478</v>
      </c>
      <c r="AY52" s="3478" t="s">
        <v>3478</v>
      </c>
      <c r="AZ52" s="3478" t="s">
        <v>3478</v>
      </c>
    </row>
    <row r="53" spans="1:52">
      <c r="A53" s="3478" t="s">
        <v>3797</v>
      </c>
      <c r="B53" s="3478" t="s">
        <v>3378</v>
      </c>
      <c r="C53" s="3478" t="s">
        <v>3796</v>
      </c>
      <c r="D53" s="3478" t="s">
        <v>3608</v>
      </c>
      <c r="E53" s="3478" t="s">
        <v>3621</v>
      </c>
      <c r="F53" s="3478" t="s">
        <v>3710</v>
      </c>
      <c r="G53" s="3478" t="s">
        <v>3709</v>
      </c>
      <c r="H53" s="3478" t="s">
        <v>3455</v>
      </c>
      <c r="I53" s="3478">
        <v>78681.47</v>
      </c>
      <c r="J53" s="3478">
        <v>188033.66</v>
      </c>
      <c r="K53" s="3478" t="s">
        <v>3795</v>
      </c>
      <c r="L53" s="3478" t="s">
        <v>3439</v>
      </c>
      <c r="M53" s="3478" t="s">
        <v>3794</v>
      </c>
      <c r="N53" s="3478" t="s">
        <v>3441</v>
      </c>
      <c r="O53" s="3478" t="s">
        <v>3480</v>
      </c>
      <c r="P53" s="3478" t="s">
        <v>3602</v>
      </c>
      <c r="Q53" s="3478" t="s">
        <v>3793</v>
      </c>
      <c r="R53" s="3478" t="s">
        <v>3653</v>
      </c>
      <c r="S53" s="3478" t="s">
        <v>3652</v>
      </c>
      <c r="T53" s="3478" t="s">
        <v>3478</v>
      </c>
      <c r="U53" s="3478" t="s">
        <v>3478</v>
      </c>
      <c r="V53" s="3478">
        <v>0</v>
      </c>
      <c r="W53" s="3478">
        <v>0</v>
      </c>
      <c r="X53" s="3478">
        <v>0</v>
      </c>
      <c r="Y53" s="3478">
        <v>0</v>
      </c>
      <c r="Z53" s="3481">
        <v>43830.000497685185</v>
      </c>
      <c r="AA53" s="3481">
        <v>43865.000497685185</v>
      </c>
      <c r="AB53" s="3481">
        <v>43879.000497685185</v>
      </c>
      <c r="AC53" s="3480">
        <v>43879.000497685185</v>
      </c>
      <c r="AD53" s="3478" t="s">
        <v>3792</v>
      </c>
      <c r="AE53" s="3478" t="s">
        <v>3442</v>
      </c>
      <c r="AF53" s="3478" t="s">
        <v>3791</v>
      </c>
      <c r="AG53" s="3478" t="s">
        <v>3790</v>
      </c>
      <c r="AH53" s="3478" t="s">
        <v>3789</v>
      </c>
      <c r="AI53" s="3478">
        <v>500000</v>
      </c>
      <c r="AJ53" s="3478">
        <v>100000</v>
      </c>
      <c r="AK53" s="3478" t="s">
        <v>3788</v>
      </c>
      <c r="AL53" s="3478">
        <v>670000</v>
      </c>
      <c r="AM53" s="3478">
        <v>4236.49</v>
      </c>
      <c r="AN53" s="3478">
        <v>5676.9</v>
      </c>
      <c r="AO53" s="3478">
        <v>26591</v>
      </c>
      <c r="AP53" s="3479">
        <v>35632</v>
      </c>
      <c r="AQ53" s="3478" t="s">
        <v>3478</v>
      </c>
      <c r="AR53" s="3478" t="s">
        <v>3478</v>
      </c>
      <c r="AS53" s="3478">
        <v>34</v>
      </c>
      <c r="AT53" s="3478" t="s">
        <v>3635</v>
      </c>
      <c r="AU53" s="3478" t="s">
        <v>3480</v>
      </c>
      <c r="AV53" s="3478" t="s">
        <v>3478</v>
      </c>
      <c r="AW53" s="3478" t="s">
        <v>3480</v>
      </c>
      <c r="AX53" s="3478" t="s">
        <v>3478</v>
      </c>
      <c r="AY53" s="3478" t="s">
        <v>3478</v>
      </c>
      <c r="AZ53" s="3478" t="s">
        <v>3478</v>
      </c>
    </row>
    <row r="54" spans="1:52">
      <c r="A54" s="3478" t="s">
        <v>3787</v>
      </c>
      <c r="B54" s="3478" t="s">
        <v>3378</v>
      </c>
      <c r="C54" s="3478" t="s">
        <v>3786</v>
      </c>
      <c r="D54" s="3478" t="s">
        <v>3608</v>
      </c>
      <c r="E54" s="3478" t="s">
        <v>3621</v>
      </c>
      <c r="F54" s="3478" t="s">
        <v>3785</v>
      </c>
      <c r="G54" s="3478" t="s">
        <v>3784</v>
      </c>
      <c r="H54" s="3478" t="s">
        <v>3438</v>
      </c>
      <c r="I54" s="3478">
        <v>20796</v>
      </c>
      <c r="J54" s="3478">
        <v>21836</v>
      </c>
      <c r="K54" s="3478" t="s">
        <v>3783</v>
      </c>
      <c r="L54" s="3478" t="s">
        <v>3439</v>
      </c>
      <c r="M54" s="3478" t="s">
        <v>3640</v>
      </c>
      <c r="N54" s="3478" t="s">
        <v>3441</v>
      </c>
      <c r="O54" s="3478" t="s">
        <v>3480</v>
      </c>
      <c r="P54" s="3478" t="s">
        <v>3602</v>
      </c>
      <c r="Q54" s="3478" t="s">
        <v>3754</v>
      </c>
      <c r="R54" s="3478" t="s">
        <v>3653</v>
      </c>
      <c r="S54" s="3478" t="s">
        <v>3652</v>
      </c>
      <c r="T54" s="3478" t="s">
        <v>3478</v>
      </c>
      <c r="U54" s="3478" t="s">
        <v>3478</v>
      </c>
      <c r="V54" s="3478">
        <v>0</v>
      </c>
      <c r="W54" s="3478">
        <v>0</v>
      </c>
      <c r="X54" s="3478">
        <v>0</v>
      </c>
      <c r="Y54" s="3478">
        <v>0</v>
      </c>
      <c r="Z54" s="3481">
        <v>43830.000497685185</v>
      </c>
      <c r="AA54" s="3481">
        <v>43852.000497685185</v>
      </c>
      <c r="AB54" s="3481">
        <v>43872.000497685185</v>
      </c>
      <c r="AC54" s="3480">
        <v>43872.000497685185</v>
      </c>
      <c r="AD54" s="3478" t="s">
        <v>3782</v>
      </c>
      <c r="AE54" s="3478" t="s">
        <v>3442</v>
      </c>
      <c r="AF54" s="3478" t="s">
        <v>3781</v>
      </c>
      <c r="AG54" s="3478" t="s">
        <v>3780</v>
      </c>
      <c r="AH54" s="3478" t="s">
        <v>3662</v>
      </c>
      <c r="AI54" s="3478">
        <v>28800</v>
      </c>
      <c r="AJ54" s="3478">
        <v>5800</v>
      </c>
      <c r="AK54" s="3478" t="s">
        <v>3779</v>
      </c>
      <c r="AL54" s="3478">
        <v>36000</v>
      </c>
      <c r="AM54" s="3478">
        <v>923.25</v>
      </c>
      <c r="AN54" s="3478">
        <v>1154.07</v>
      </c>
      <c r="AO54" s="3478">
        <v>13189</v>
      </c>
      <c r="AP54" s="3479">
        <v>16487</v>
      </c>
      <c r="AQ54" s="3478" t="s">
        <v>3478</v>
      </c>
      <c r="AR54" s="3478" t="s">
        <v>3478</v>
      </c>
      <c r="AS54" s="3478">
        <v>25</v>
      </c>
      <c r="AT54" s="3478" t="s">
        <v>3635</v>
      </c>
      <c r="AU54" s="3478" t="s">
        <v>3480</v>
      </c>
      <c r="AV54" s="3478" t="s">
        <v>3478</v>
      </c>
      <c r="AW54" s="3478" t="s">
        <v>3480</v>
      </c>
      <c r="AX54" s="3478" t="s">
        <v>3478</v>
      </c>
      <c r="AY54" s="3478" t="s">
        <v>3478</v>
      </c>
      <c r="AZ54" s="3478" t="s">
        <v>3478</v>
      </c>
    </row>
    <row r="55" spans="1:52" hidden="1">
      <c r="A55" s="3478" t="s">
        <v>3778</v>
      </c>
      <c r="B55" s="3478" t="s">
        <v>3378</v>
      </c>
      <c r="C55" s="3478" t="s">
        <v>3777</v>
      </c>
      <c r="D55" s="3478" t="s">
        <v>3608</v>
      </c>
      <c r="E55" s="3478" t="s">
        <v>3607</v>
      </c>
      <c r="F55" s="3478" t="s">
        <v>3757</v>
      </c>
      <c r="G55" s="3478" t="s">
        <v>3776</v>
      </c>
      <c r="H55" s="3478" t="s">
        <v>3438</v>
      </c>
      <c r="I55" s="3478">
        <v>62168.34</v>
      </c>
      <c r="J55" s="3478">
        <v>186162</v>
      </c>
      <c r="K55" s="3478" t="s">
        <v>3682</v>
      </c>
      <c r="L55" s="3478" t="s">
        <v>3775</v>
      </c>
      <c r="M55" s="3478" t="s">
        <v>3640</v>
      </c>
      <c r="N55" s="3478" t="s">
        <v>3441</v>
      </c>
      <c r="O55" s="3478" t="s">
        <v>3480</v>
      </c>
      <c r="P55" s="3478" t="s">
        <v>3602</v>
      </c>
      <c r="Q55" s="3478" t="s">
        <v>3654</v>
      </c>
      <c r="R55" s="3478" t="s">
        <v>3478</v>
      </c>
      <c r="S55" s="3478" t="s">
        <v>3667</v>
      </c>
      <c r="T55" s="3478" t="s">
        <v>3672</v>
      </c>
      <c r="U55" s="3478" t="s">
        <v>3478</v>
      </c>
      <c r="V55" s="3478">
        <v>0</v>
      </c>
      <c r="W55" s="3478">
        <v>0</v>
      </c>
      <c r="X55" s="3478">
        <v>186162</v>
      </c>
      <c r="Y55" s="3478">
        <v>186162</v>
      </c>
      <c r="Z55" s="3481">
        <v>43784.000497685185</v>
      </c>
      <c r="AA55" s="3481">
        <v>43812.000497685185</v>
      </c>
      <c r="AB55" s="3481">
        <v>43812.000497685185</v>
      </c>
      <c r="AC55" s="3480">
        <v>43812.000497685185</v>
      </c>
      <c r="AD55" s="3478" t="s">
        <v>3774</v>
      </c>
      <c r="AE55" s="3478" t="s">
        <v>3442</v>
      </c>
      <c r="AF55" s="3478" t="s">
        <v>3773</v>
      </c>
      <c r="AG55" s="3478" t="s">
        <v>3772</v>
      </c>
      <c r="AH55" s="3478" t="s">
        <v>3662</v>
      </c>
      <c r="AI55" s="3478" t="s">
        <v>3478</v>
      </c>
      <c r="AJ55" s="3478">
        <v>86800</v>
      </c>
      <c r="AK55" s="3478" t="s">
        <v>633</v>
      </c>
      <c r="AL55" s="3478">
        <v>434800</v>
      </c>
      <c r="AM55" s="3478" t="s">
        <v>3478</v>
      </c>
      <c r="AN55" s="3478">
        <v>4662.6099999999997</v>
      </c>
      <c r="AO55" s="3478" t="s">
        <v>3478</v>
      </c>
      <c r="AP55" s="3479">
        <v>23356</v>
      </c>
      <c r="AQ55" s="3478" t="s">
        <v>3478</v>
      </c>
      <c r="AR55" s="3478" t="s">
        <v>3478</v>
      </c>
      <c r="AS55" s="3478">
        <v>0</v>
      </c>
      <c r="AT55" s="3478" t="s">
        <v>3635</v>
      </c>
      <c r="AU55" s="3478" t="s">
        <v>3480</v>
      </c>
      <c r="AV55" s="3478" t="s">
        <v>3478</v>
      </c>
      <c r="AW55" s="3478">
        <v>38000</v>
      </c>
      <c r="AX55" s="3478" t="s">
        <v>3478</v>
      </c>
      <c r="AY55" s="3478" t="s">
        <v>3478</v>
      </c>
      <c r="AZ55" s="3478" t="s">
        <v>3478</v>
      </c>
    </row>
    <row r="56" spans="1:52" hidden="1">
      <c r="A56" s="3478" t="s">
        <v>3771</v>
      </c>
      <c r="B56" s="3478" t="s">
        <v>3378</v>
      </c>
      <c r="C56" s="3478" t="s">
        <v>3770</v>
      </c>
      <c r="D56" s="3478" t="s">
        <v>3608</v>
      </c>
      <c r="E56" s="3478" t="s">
        <v>3747</v>
      </c>
      <c r="F56" s="3478" t="s">
        <v>3769</v>
      </c>
      <c r="G56" s="3478" t="s">
        <v>3768</v>
      </c>
      <c r="H56" s="3478" t="s">
        <v>3455</v>
      </c>
      <c r="I56" s="3478">
        <v>165793.17000000001</v>
      </c>
      <c r="J56" s="3478">
        <v>381104</v>
      </c>
      <c r="K56" s="3478" t="s">
        <v>3767</v>
      </c>
      <c r="L56" s="3478" t="s">
        <v>3439</v>
      </c>
      <c r="M56" s="3478" t="s">
        <v>3766</v>
      </c>
      <c r="N56" s="3478" t="s">
        <v>3441</v>
      </c>
      <c r="O56" s="3478" t="s">
        <v>3480</v>
      </c>
      <c r="P56" s="3478" t="s">
        <v>3765</v>
      </c>
      <c r="Q56" s="3478" t="s">
        <v>3764</v>
      </c>
      <c r="R56" s="3478" t="s">
        <v>3616</v>
      </c>
      <c r="S56" s="3478" t="s">
        <v>3615</v>
      </c>
      <c r="T56" s="3478" t="s">
        <v>3478</v>
      </c>
      <c r="U56" s="3478" t="s">
        <v>3478</v>
      </c>
      <c r="V56" s="3478">
        <v>0</v>
      </c>
      <c r="W56" s="3478">
        <v>0</v>
      </c>
      <c r="X56" s="3478">
        <v>0</v>
      </c>
      <c r="Y56" s="3478">
        <v>0</v>
      </c>
      <c r="Z56" s="3481">
        <v>43777.000497685185</v>
      </c>
      <c r="AA56" s="3481">
        <v>43797.000497685185</v>
      </c>
      <c r="AB56" s="3481">
        <v>43811.000497685185</v>
      </c>
      <c r="AC56" s="3480">
        <v>43811.000497685185</v>
      </c>
      <c r="AD56" s="3478" t="s">
        <v>3763</v>
      </c>
      <c r="AE56" s="3478" t="s">
        <v>3442</v>
      </c>
      <c r="AF56" s="3478" t="s">
        <v>3762</v>
      </c>
      <c r="AG56" s="3478" t="s">
        <v>3761</v>
      </c>
      <c r="AH56" s="3478" t="s">
        <v>3644</v>
      </c>
      <c r="AI56" s="3478">
        <v>420000</v>
      </c>
      <c r="AJ56" s="3478">
        <v>84000</v>
      </c>
      <c r="AK56" s="3478" t="s">
        <v>3760</v>
      </c>
      <c r="AL56" s="3478">
        <v>420000</v>
      </c>
      <c r="AM56" s="3478">
        <v>1688.85</v>
      </c>
      <c r="AN56" s="3478">
        <v>1688.85</v>
      </c>
      <c r="AO56" s="3478">
        <v>11021</v>
      </c>
      <c r="AP56" s="3479">
        <v>11021</v>
      </c>
      <c r="AQ56" s="3478" t="s">
        <v>3478</v>
      </c>
      <c r="AR56" s="3478" t="s">
        <v>3478</v>
      </c>
      <c r="AS56" s="3478">
        <v>0</v>
      </c>
      <c r="AT56" s="3478" t="s">
        <v>3635</v>
      </c>
      <c r="AU56" s="3478" t="s">
        <v>3480</v>
      </c>
      <c r="AV56" s="3478" t="s">
        <v>3478</v>
      </c>
      <c r="AW56" s="3478">
        <v>35344</v>
      </c>
      <c r="AX56" s="3478" t="s">
        <v>3478</v>
      </c>
      <c r="AY56" s="3478" t="s">
        <v>3478</v>
      </c>
      <c r="AZ56" s="3478">
        <v>24323</v>
      </c>
    </row>
    <row r="57" spans="1:52" hidden="1">
      <c r="A57" s="3478" t="s">
        <v>3759</v>
      </c>
      <c r="B57" s="3478" t="s">
        <v>3378</v>
      </c>
      <c r="C57" s="3478" t="s">
        <v>3758</v>
      </c>
      <c r="D57" s="3478" t="s">
        <v>3608</v>
      </c>
      <c r="E57" s="3478" t="s">
        <v>3607</v>
      </c>
      <c r="F57" s="3478" t="s">
        <v>3757</v>
      </c>
      <c r="G57" s="3478" t="s">
        <v>3756</v>
      </c>
      <c r="H57" s="3478" t="s">
        <v>3438</v>
      </c>
      <c r="I57" s="3478">
        <v>74642.399999999994</v>
      </c>
      <c r="J57" s="3478">
        <v>82107</v>
      </c>
      <c r="K57" s="3478" t="s">
        <v>3755</v>
      </c>
      <c r="L57" s="3478" t="s">
        <v>3439</v>
      </c>
      <c r="M57" s="3478" t="s">
        <v>3640</v>
      </c>
      <c r="N57" s="3478" t="s">
        <v>3441</v>
      </c>
      <c r="O57" s="3478" t="s">
        <v>3480</v>
      </c>
      <c r="P57" s="3478" t="s">
        <v>3602</v>
      </c>
      <c r="Q57" s="3478" t="s">
        <v>3754</v>
      </c>
      <c r="R57" s="3478" t="s">
        <v>3653</v>
      </c>
      <c r="S57" s="3478" t="s">
        <v>3652</v>
      </c>
      <c r="T57" s="3478" t="s">
        <v>3478</v>
      </c>
      <c r="U57" s="3478" t="s">
        <v>3478</v>
      </c>
      <c r="V57" s="3478">
        <v>0</v>
      </c>
      <c r="W57" s="3478">
        <v>0</v>
      </c>
      <c r="X57" s="3478">
        <v>0</v>
      </c>
      <c r="Y57" s="3478">
        <v>0</v>
      </c>
      <c r="Z57" s="3481">
        <v>43770.000497685185</v>
      </c>
      <c r="AA57" s="3481">
        <v>43790.000497685185</v>
      </c>
      <c r="AB57" s="3481">
        <v>43804.000497685185</v>
      </c>
      <c r="AC57" s="3480">
        <v>43804.000497685185</v>
      </c>
      <c r="AD57" s="3478" t="s">
        <v>3753</v>
      </c>
      <c r="AE57" s="3478" t="s">
        <v>3442</v>
      </c>
      <c r="AF57" s="3478" t="s">
        <v>3752</v>
      </c>
      <c r="AG57" s="3478" t="s">
        <v>3751</v>
      </c>
      <c r="AH57" s="3478" t="s">
        <v>3702</v>
      </c>
      <c r="AI57" s="3478">
        <v>260000</v>
      </c>
      <c r="AJ57" s="3478">
        <v>52000</v>
      </c>
      <c r="AK57" s="3478" t="s">
        <v>3750</v>
      </c>
      <c r="AL57" s="3478">
        <v>260000</v>
      </c>
      <c r="AM57" s="3478">
        <v>2322.1799999999998</v>
      </c>
      <c r="AN57" s="3478">
        <v>2322.1799999999998</v>
      </c>
      <c r="AO57" s="3478">
        <v>31666</v>
      </c>
      <c r="AP57" s="3479">
        <v>31666</v>
      </c>
      <c r="AQ57" s="3478" t="s">
        <v>3478</v>
      </c>
      <c r="AR57" s="3478" t="s">
        <v>3478</v>
      </c>
      <c r="AS57" s="3478">
        <v>0</v>
      </c>
      <c r="AT57" s="3478" t="s">
        <v>3635</v>
      </c>
      <c r="AU57" s="3478" t="s">
        <v>3480</v>
      </c>
      <c r="AV57" s="3478" t="s">
        <v>3478</v>
      </c>
      <c r="AW57" s="3478" t="s">
        <v>3480</v>
      </c>
      <c r="AX57" s="3478" t="s">
        <v>3478</v>
      </c>
      <c r="AY57" s="3478" t="s">
        <v>3478</v>
      </c>
      <c r="AZ57" s="3478" t="s">
        <v>3478</v>
      </c>
    </row>
    <row r="58" spans="1:52" hidden="1">
      <c r="A58" s="3478" t="s">
        <v>3749</v>
      </c>
      <c r="B58" s="3478" t="s">
        <v>3378</v>
      </c>
      <c r="C58" s="3478" t="s">
        <v>3748</v>
      </c>
      <c r="D58" s="3478" t="s">
        <v>3608</v>
      </c>
      <c r="E58" s="3478" t="s">
        <v>3747</v>
      </c>
      <c r="F58" s="3478" t="s">
        <v>3746</v>
      </c>
      <c r="G58" s="3478" t="s">
        <v>3745</v>
      </c>
      <c r="H58" s="3478" t="s">
        <v>3455</v>
      </c>
      <c r="I58" s="3478">
        <v>35805</v>
      </c>
      <c r="J58" s="3478">
        <v>71581</v>
      </c>
      <c r="K58" s="3478" t="s">
        <v>3744</v>
      </c>
      <c r="L58" s="3478" t="s">
        <v>3439</v>
      </c>
      <c r="M58" s="3478" t="s">
        <v>3603</v>
      </c>
      <c r="N58" s="3478" t="s">
        <v>3441</v>
      </c>
      <c r="O58" s="3478" t="s">
        <v>3480</v>
      </c>
      <c r="P58" s="3478" t="s">
        <v>3602</v>
      </c>
      <c r="Q58" s="3478" t="s">
        <v>3743</v>
      </c>
      <c r="R58" s="3478" t="s">
        <v>3667</v>
      </c>
      <c r="S58" s="3478" t="s">
        <v>3667</v>
      </c>
      <c r="T58" s="3478" t="s">
        <v>3672</v>
      </c>
      <c r="U58" s="3478" t="s">
        <v>3478</v>
      </c>
      <c r="V58" s="3478">
        <v>0</v>
      </c>
      <c r="W58" s="3478">
        <v>0</v>
      </c>
      <c r="X58" s="3478">
        <v>68381</v>
      </c>
      <c r="Y58" s="3478">
        <v>68381</v>
      </c>
      <c r="Z58" s="3481">
        <v>43753.000497685185</v>
      </c>
      <c r="AA58" s="3481">
        <v>43773.000497685185</v>
      </c>
      <c r="AB58" s="3481">
        <v>43787.000497685185</v>
      </c>
      <c r="AC58" s="3480">
        <v>43787.000497685185</v>
      </c>
      <c r="AD58" s="3478" t="s">
        <v>3742</v>
      </c>
      <c r="AE58" s="3478" t="s">
        <v>3442</v>
      </c>
      <c r="AF58" s="3478" t="s">
        <v>3741</v>
      </c>
      <c r="AG58" s="3478" t="s">
        <v>3740</v>
      </c>
      <c r="AH58" s="3478" t="s">
        <v>3644</v>
      </c>
      <c r="AI58" s="3478">
        <v>77000</v>
      </c>
      <c r="AJ58" s="3478">
        <v>15400</v>
      </c>
      <c r="AK58" s="3478" t="s">
        <v>3739</v>
      </c>
      <c r="AL58" s="3478">
        <v>85000</v>
      </c>
      <c r="AM58" s="3478">
        <v>1433.69</v>
      </c>
      <c r="AN58" s="3478">
        <v>1582.65</v>
      </c>
      <c r="AO58" s="3478">
        <v>10757</v>
      </c>
      <c r="AP58" s="3479">
        <v>11875</v>
      </c>
      <c r="AQ58" s="3478" t="s">
        <v>3478</v>
      </c>
      <c r="AR58" s="3478" t="s">
        <v>3478</v>
      </c>
      <c r="AS58" s="3478">
        <v>10.39</v>
      </c>
      <c r="AT58" s="3478" t="s">
        <v>3635</v>
      </c>
      <c r="AU58" s="3478" t="s">
        <v>3480</v>
      </c>
      <c r="AV58" s="3478" t="s">
        <v>3478</v>
      </c>
      <c r="AW58" s="3478">
        <v>29000</v>
      </c>
      <c r="AX58" s="3478" t="s">
        <v>3478</v>
      </c>
      <c r="AY58" s="3478" t="s">
        <v>3478</v>
      </c>
      <c r="AZ58" s="3478">
        <v>18243</v>
      </c>
    </row>
    <row r="59" spans="1:52">
      <c r="A59" s="3478" t="s">
        <v>3738</v>
      </c>
      <c r="B59" s="3478" t="s">
        <v>3378</v>
      </c>
      <c r="C59" s="3478" t="s">
        <v>3737</v>
      </c>
      <c r="D59" s="3478" t="s">
        <v>3608</v>
      </c>
      <c r="E59" s="3478" t="s">
        <v>3621</v>
      </c>
      <c r="F59" s="3478" t="s">
        <v>3728</v>
      </c>
      <c r="G59" s="3478" t="s">
        <v>3736</v>
      </c>
      <c r="H59" s="3478" t="s">
        <v>3455</v>
      </c>
      <c r="I59" s="3478">
        <v>42541.4</v>
      </c>
      <c r="J59" s="3478">
        <v>108921.52</v>
      </c>
      <c r="K59" s="3478" t="s">
        <v>3735</v>
      </c>
      <c r="L59" s="3478" t="s">
        <v>3439</v>
      </c>
      <c r="M59" s="3478" t="s">
        <v>3603</v>
      </c>
      <c r="N59" s="3478" t="s">
        <v>3441</v>
      </c>
      <c r="O59" s="3478" t="s">
        <v>3480</v>
      </c>
      <c r="P59" s="3478" t="s">
        <v>3602</v>
      </c>
      <c r="Q59" s="3478" t="s">
        <v>3734</v>
      </c>
      <c r="R59" s="3478" t="s">
        <v>3616</v>
      </c>
      <c r="S59" s="3478" t="s">
        <v>3615</v>
      </c>
      <c r="T59" s="3478" t="s">
        <v>3478</v>
      </c>
      <c r="U59" s="3478" t="s">
        <v>3478</v>
      </c>
      <c r="V59" s="3478">
        <v>0</v>
      </c>
      <c r="W59" s="3478">
        <v>0</v>
      </c>
      <c r="X59" s="3478">
        <v>0</v>
      </c>
      <c r="Y59" s="3478">
        <v>0</v>
      </c>
      <c r="Z59" s="3481">
        <v>43748.000497685185</v>
      </c>
      <c r="AA59" s="3481">
        <v>43768.000497685185</v>
      </c>
      <c r="AB59" s="3481">
        <v>43782.000497685185</v>
      </c>
      <c r="AC59" s="3480">
        <v>43782.000497685185</v>
      </c>
      <c r="AD59" s="3478" t="s">
        <v>3733</v>
      </c>
      <c r="AE59" s="3478" t="s">
        <v>3442</v>
      </c>
      <c r="AF59" s="3478" t="s">
        <v>3732</v>
      </c>
      <c r="AG59" s="3478" t="s">
        <v>3731</v>
      </c>
      <c r="AH59" s="3478" t="s">
        <v>3662</v>
      </c>
      <c r="AI59" s="3478">
        <v>292000</v>
      </c>
      <c r="AJ59" s="3478">
        <v>58400</v>
      </c>
      <c r="AK59" s="3478" t="s">
        <v>3722</v>
      </c>
      <c r="AL59" s="3478">
        <v>307000</v>
      </c>
      <c r="AM59" s="3478">
        <v>4575.93</v>
      </c>
      <c r="AN59" s="3478">
        <v>4811</v>
      </c>
      <c r="AO59" s="3478">
        <v>26808</v>
      </c>
      <c r="AP59" s="3479">
        <v>28185</v>
      </c>
      <c r="AQ59" s="3478" t="s">
        <v>3478</v>
      </c>
      <c r="AR59" s="3478" t="s">
        <v>3478</v>
      </c>
      <c r="AS59" s="3478">
        <v>5.14</v>
      </c>
      <c r="AT59" s="3478" t="s">
        <v>3635</v>
      </c>
      <c r="AU59" s="3478" t="s">
        <v>3480</v>
      </c>
      <c r="AV59" s="3478" t="s">
        <v>3478</v>
      </c>
      <c r="AW59" s="3478" t="s">
        <v>3480</v>
      </c>
      <c r="AX59" s="3478" t="s">
        <v>3478</v>
      </c>
      <c r="AY59" s="3478" t="s">
        <v>3478</v>
      </c>
      <c r="AZ59" s="3478" t="s">
        <v>3478</v>
      </c>
    </row>
    <row r="60" spans="1:52">
      <c r="A60" s="3478" t="s">
        <v>3730</v>
      </c>
      <c r="B60" s="3478" t="s">
        <v>3378</v>
      </c>
      <c r="C60" s="3478" t="s">
        <v>3729</v>
      </c>
      <c r="D60" s="3478" t="s">
        <v>3608</v>
      </c>
      <c r="E60" s="3478" t="s">
        <v>3621</v>
      </c>
      <c r="F60" s="3478" t="s">
        <v>3728</v>
      </c>
      <c r="G60" s="3478" t="s">
        <v>3727</v>
      </c>
      <c r="H60" s="3478" t="s">
        <v>3438</v>
      </c>
      <c r="I60" s="3478">
        <v>54735.8</v>
      </c>
      <c r="J60" s="3478">
        <v>153260.24</v>
      </c>
      <c r="K60" s="3478" t="s">
        <v>3726</v>
      </c>
      <c r="L60" s="3478" t="s">
        <v>3439</v>
      </c>
      <c r="M60" s="3478" t="s">
        <v>3640</v>
      </c>
      <c r="N60" s="3478" t="s">
        <v>3441</v>
      </c>
      <c r="O60" s="3478" t="s">
        <v>3480</v>
      </c>
      <c r="P60" s="3478" t="s">
        <v>3602</v>
      </c>
      <c r="Q60" s="3478" t="s">
        <v>3654</v>
      </c>
      <c r="R60" s="3478" t="s">
        <v>3616</v>
      </c>
      <c r="S60" s="3478" t="s">
        <v>3615</v>
      </c>
      <c r="T60" s="3478" t="s">
        <v>3478</v>
      </c>
      <c r="U60" s="3478" t="s">
        <v>3478</v>
      </c>
      <c r="V60" s="3478">
        <v>0</v>
      </c>
      <c r="W60" s="3478">
        <v>0</v>
      </c>
      <c r="X60" s="3478">
        <v>0</v>
      </c>
      <c r="Y60" s="3478">
        <v>0</v>
      </c>
      <c r="Z60" s="3481">
        <v>43748.000497685185</v>
      </c>
      <c r="AA60" s="3481">
        <v>43768.000497685185</v>
      </c>
      <c r="AB60" s="3481">
        <v>43782.000497685185</v>
      </c>
      <c r="AC60" s="3480">
        <v>43782.000497685185</v>
      </c>
      <c r="AD60" s="3478" t="s">
        <v>3725</v>
      </c>
      <c r="AE60" s="3478" t="s">
        <v>3442</v>
      </c>
      <c r="AF60" s="3478" t="s">
        <v>3724</v>
      </c>
      <c r="AG60" s="3478" t="s">
        <v>3723</v>
      </c>
      <c r="AH60" s="3478" t="s">
        <v>3624</v>
      </c>
      <c r="AI60" s="3478">
        <v>426000</v>
      </c>
      <c r="AJ60" s="3478">
        <v>85200</v>
      </c>
      <c r="AK60" s="3478" t="s">
        <v>3722</v>
      </c>
      <c r="AL60" s="3478">
        <v>428150</v>
      </c>
      <c r="AM60" s="3478">
        <v>5188.5600000000004</v>
      </c>
      <c r="AN60" s="3478">
        <v>5214.75</v>
      </c>
      <c r="AO60" s="3478">
        <v>27796</v>
      </c>
      <c r="AP60" s="3479">
        <v>27936</v>
      </c>
      <c r="AQ60" s="3478" t="s">
        <v>3478</v>
      </c>
      <c r="AR60" s="3478" t="s">
        <v>3478</v>
      </c>
      <c r="AS60" s="3478">
        <v>0.5</v>
      </c>
      <c r="AT60" s="3478" t="s">
        <v>3635</v>
      </c>
      <c r="AU60" s="3478" t="s">
        <v>3480</v>
      </c>
      <c r="AV60" s="3478" t="s">
        <v>3478</v>
      </c>
      <c r="AW60" s="3478">
        <v>52695</v>
      </c>
      <c r="AX60" s="3478" t="s">
        <v>3478</v>
      </c>
      <c r="AY60" s="3478" t="s">
        <v>3478</v>
      </c>
      <c r="AZ60" s="3478">
        <v>24899</v>
      </c>
    </row>
    <row r="61" spans="1:52">
      <c r="A61" s="3478" t="s">
        <v>3721</v>
      </c>
      <c r="B61" s="3478" t="s">
        <v>3378</v>
      </c>
      <c r="C61" s="3478" t="s">
        <v>3720</v>
      </c>
      <c r="D61" s="3478" t="s">
        <v>3608</v>
      </c>
      <c r="E61" s="3478" t="s">
        <v>3621</v>
      </c>
      <c r="F61" s="3478" t="s">
        <v>3719</v>
      </c>
      <c r="G61" s="3478" t="s">
        <v>3718</v>
      </c>
      <c r="H61" s="3478" t="s">
        <v>3455</v>
      </c>
      <c r="I61" s="3478">
        <v>58822.99</v>
      </c>
      <c r="J61" s="3478">
        <v>97871</v>
      </c>
      <c r="K61" s="3478" t="s">
        <v>3717</v>
      </c>
      <c r="L61" s="3478" t="s">
        <v>3439</v>
      </c>
      <c r="M61" s="3478" t="s">
        <v>3603</v>
      </c>
      <c r="N61" s="3478" t="s">
        <v>3441</v>
      </c>
      <c r="O61" s="3478" t="s">
        <v>3480</v>
      </c>
      <c r="P61" s="3478" t="s">
        <v>3602</v>
      </c>
      <c r="Q61" s="3478" t="s">
        <v>3716</v>
      </c>
      <c r="R61" s="3478" t="s">
        <v>3616</v>
      </c>
      <c r="S61" s="3478" t="s">
        <v>3615</v>
      </c>
      <c r="T61" s="3478" t="s">
        <v>3478</v>
      </c>
      <c r="U61" s="3478" t="s">
        <v>3478</v>
      </c>
      <c r="V61" s="3478">
        <v>0</v>
      </c>
      <c r="W61" s="3478">
        <v>0</v>
      </c>
      <c r="X61" s="3478">
        <v>0</v>
      </c>
      <c r="Y61" s="3478">
        <v>0</v>
      </c>
      <c r="Z61" s="3481">
        <v>43705.000497685185</v>
      </c>
      <c r="AA61" s="3481">
        <v>43734.000497685185</v>
      </c>
      <c r="AB61" s="3481">
        <v>43753.000497685185</v>
      </c>
      <c r="AC61" s="3480">
        <v>43753.000497685185</v>
      </c>
      <c r="AD61" s="3478" t="s">
        <v>3715</v>
      </c>
      <c r="AE61" s="3478" t="s">
        <v>3442</v>
      </c>
      <c r="AF61" s="3478" t="s">
        <v>3714</v>
      </c>
      <c r="AG61" s="3478" t="s">
        <v>3713</v>
      </c>
      <c r="AH61" s="3478" t="s">
        <v>3644</v>
      </c>
      <c r="AI61" s="3478">
        <v>181000</v>
      </c>
      <c r="AJ61" s="3478">
        <v>36500</v>
      </c>
      <c r="AK61" s="3478" t="s">
        <v>3701</v>
      </c>
      <c r="AL61" s="3478">
        <v>203000</v>
      </c>
      <c r="AM61" s="3478">
        <v>2051.35</v>
      </c>
      <c r="AN61" s="3478">
        <v>2300.69</v>
      </c>
      <c r="AO61" s="3478">
        <v>18494</v>
      </c>
      <c r="AP61" s="3479">
        <v>20742</v>
      </c>
      <c r="AQ61" s="3478" t="s">
        <v>3478</v>
      </c>
      <c r="AR61" s="3478" t="s">
        <v>3478</v>
      </c>
      <c r="AS61" s="3478">
        <v>12.15</v>
      </c>
      <c r="AT61" s="3478" t="s">
        <v>3635</v>
      </c>
      <c r="AU61" s="3478" t="s">
        <v>3480</v>
      </c>
      <c r="AV61" s="3478" t="s">
        <v>3478</v>
      </c>
      <c r="AW61" s="3478">
        <v>42672</v>
      </c>
      <c r="AX61" s="3478" t="s">
        <v>3478</v>
      </c>
      <c r="AY61" s="3478" t="s">
        <v>3478</v>
      </c>
      <c r="AZ61" s="3478">
        <v>24178</v>
      </c>
    </row>
    <row r="62" spans="1:52">
      <c r="A62" s="3478" t="s">
        <v>3712</v>
      </c>
      <c r="B62" s="3478" t="s">
        <v>3378</v>
      </c>
      <c r="C62" s="3478" t="s">
        <v>3711</v>
      </c>
      <c r="D62" s="3478" t="s">
        <v>3608</v>
      </c>
      <c r="E62" s="3478" t="s">
        <v>3621</v>
      </c>
      <c r="F62" s="3478" t="s">
        <v>3710</v>
      </c>
      <c r="G62" s="3478" t="s">
        <v>3709</v>
      </c>
      <c r="H62" s="3478" t="s">
        <v>3455</v>
      </c>
      <c r="I62" s="3478">
        <v>56722.42</v>
      </c>
      <c r="J62" s="3478">
        <v>124449</v>
      </c>
      <c r="K62" s="3478" t="s">
        <v>3708</v>
      </c>
      <c r="L62" s="3478" t="s">
        <v>3439</v>
      </c>
      <c r="M62" s="3478" t="s">
        <v>3707</v>
      </c>
      <c r="N62" s="3478" t="s">
        <v>3441</v>
      </c>
      <c r="O62" s="3478" t="s">
        <v>3480</v>
      </c>
      <c r="P62" s="3478" t="s">
        <v>3602</v>
      </c>
      <c r="Q62" s="3478" t="s">
        <v>3706</v>
      </c>
      <c r="R62" s="3478" t="s">
        <v>3616</v>
      </c>
      <c r="S62" s="3478" t="s">
        <v>3615</v>
      </c>
      <c r="T62" s="3478" t="s">
        <v>3478</v>
      </c>
      <c r="U62" s="3478" t="s">
        <v>3478</v>
      </c>
      <c r="V62" s="3478">
        <v>0</v>
      </c>
      <c r="W62" s="3478">
        <v>0</v>
      </c>
      <c r="X62" s="3478">
        <v>0</v>
      </c>
      <c r="Y62" s="3478">
        <v>0</v>
      </c>
      <c r="Z62" s="3481">
        <v>43705.000497685185</v>
      </c>
      <c r="AA62" s="3481">
        <v>43734.000497685185</v>
      </c>
      <c r="AB62" s="3481">
        <v>43753.000497685185</v>
      </c>
      <c r="AC62" s="3480">
        <v>43753.000497685185</v>
      </c>
      <c r="AD62" s="3478" t="s">
        <v>3705</v>
      </c>
      <c r="AE62" s="3478" t="s">
        <v>3442</v>
      </c>
      <c r="AF62" s="3478" t="s">
        <v>3704</v>
      </c>
      <c r="AG62" s="3478" t="s">
        <v>3703</v>
      </c>
      <c r="AH62" s="3478" t="s">
        <v>3702</v>
      </c>
      <c r="AI62" s="3478">
        <v>330000</v>
      </c>
      <c r="AJ62" s="3478">
        <v>66000</v>
      </c>
      <c r="AK62" s="3478" t="s">
        <v>3701</v>
      </c>
      <c r="AL62" s="3478">
        <v>443000</v>
      </c>
      <c r="AM62" s="3478">
        <v>3878.54</v>
      </c>
      <c r="AN62" s="3478">
        <v>5206.6400000000003</v>
      </c>
      <c r="AO62" s="3478">
        <v>26517</v>
      </c>
      <c r="AP62" s="3479">
        <v>35597</v>
      </c>
      <c r="AQ62" s="3478" t="s">
        <v>3478</v>
      </c>
      <c r="AR62" s="3478" t="s">
        <v>3478</v>
      </c>
      <c r="AS62" s="3478">
        <v>34.24</v>
      </c>
      <c r="AT62" s="3478" t="s">
        <v>3635</v>
      </c>
      <c r="AU62" s="3478" t="s">
        <v>3480</v>
      </c>
      <c r="AV62" s="3478" t="s">
        <v>3478</v>
      </c>
      <c r="AW62" s="3478">
        <v>54715</v>
      </c>
      <c r="AX62" s="3478" t="s">
        <v>3478</v>
      </c>
      <c r="AY62" s="3478" t="s">
        <v>3478</v>
      </c>
      <c r="AZ62" s="3478">
        <v>28198</v>
      </c>
    </row>
    <row r="63" spans="1:52">
      <c r="A63" s="3478" t="s">
        <v>3700</v>
      </c>
      <c r="B63" s="3478" t="s">
        <v>3378</v>
      </c>
      <c r="C63" s="3478" t="s">
        <v>3699</v>
      </c>
      <c r="D63" s="3478" t="s">
        <v>3608</v>
      </c>
      <c r="E63" s="3478" t="s">
        <v>3621</v>
      </c>
      <c r="F63" s="3478" t="s">
        <v>3698</v>
      </c>
      <c r="G63" s="3478" t="s">
        <v>3697</v>
      </c>
      <c r="H63" s="3478" t="s">
        <v>3455</v>
      </c>
      <c r="I63" s="3478">
        <v>88404.4</v>
      </c>
      <c r="J63" s="3478">
        <v>173209</v>
      </c>
      <c r="K63" s="3478" t="s">
        <v>3696</v>
      </c>
      <c r="L63" s="3478" t="s">
        <v>3439</v>
      </c>
      <c r="M63" s="3478" t="s">
        <v>3603</v>
      </c>
      <c r="N63" s="3478" t="s">
        <v>3441</v>
      </c>
      <c r="O63" s="3478" t="s">
        <v>3480</v>
      </c>
      <c r="P63" s="3478" t="s">
        <v>3602</v>
      </c>
      <c r="Q63" s="3478" t="s">
        <v>3695</v>
      </c>
      <c r="R63" s="3478" t="s">
        <v>3616</v>
      </c>
      <c r="S63" s="3478" t="s">
        <v>3694</v>
      </c>
      <c r="T63" s="3478" t="s">
        <v>3478</v>
      </c>
      <c r="U63" s="3478" t="s">
        <v>3478</v>
      </c>
      <c r="V63" s="3478">
        <v>0</v>
      </c>
      <c r="W63" s="3478">
        <v>0</v>
      </c>
      <c r="X63" s="3478">
        <v>0</v>
      </c>
      <c r="Y63" s="3478">
        <v>0</v>
      </c>
      <c r="Z63" s="3481">
        <v>43698.000497685185</v>
      </c>
      <c r="AA63" s="3481">
        <v>43718.000497685185</v>
      </c>
      <c r="AB63" s="3481">
        <v>43733.000497685185</v>
      </c>
      <c r="AC63" s="3480">
        <v>43733.000497685185</v>
      </c>
      <c r="AD63" s="3478" t="s">
        <v>3693</v>
      </c>
      <c r="AE63" s="3478" t="s">
        <v>3442</v>
      </c>
      <c r="AF63" s="3478" t="s">
        <v>3692</v>
      </c>
      <c r="AG63" s="3478" t="s">
        <v>3691</v>
      </c>
      <c r="AH63" s="3478" t="s">
        <v>3624</v>
      </c>
      <c r="AI63" s="3478">
        <v>330000</v>
      </c>
      <c r="AJ63" s="3478">
        <v>66000</v>
      </c>
      <c r="AK63" s="3478" t="s">
        <v>3676</v>
      </c>
      <c r="AL63" s="3478">
        <v>330000</v>
      </c>
      <c r="AM63" s="3478">
        <v>2488.56</v>
      </c>
      <c r="AN63" s="3478">
        <v>2488.56</v>
      </c>
      <c r="AO63" s="3478">
        <v>19052</v>
      </c>
      <c r="AP63" s="3479">
        <v>19052</v>
      </c>
      <c r="AQ63" s="3478" t="s">
        <v>3478</v>
      </c>
      <c r="AR63" s="3478" t="s">
        <v>3478</v>
      </c>
      <c r="AS63" s="3478">
        <v>0</v>
      </c>
      <c r="AT63" s="3478" t="s">
        <v>3635</v>
      </c>
      <c r="AU63" s="3478" t="s">
        <v>3480</v>
      </c>
      <c r="AV63" s="3478" t="s">
        <v>3478</v>
      </c>
      <c r="AW63" s="3478">
        <v>42158</v>
      </c>
      <c r="AX63" s="3478" t="s">
        <v>3478</v>
      </c>
      <c r="AY63" s="3478" t="s">
        <v>3478</v>
      </c>
      <c r="AZ63" s="3478">
        <v>23106</v>
      </c>
    </row>
    <row r="64" spans="1:52">
      <c r="A64" s="3478" t="s">
        <v>3690</v>
      </c>
      <c r="B64" s="3478" t="s">
        <v>3378</v>
      </c>
      <c r="C64" s="3478" t="s">
        <v>3689</v>
      </c>
      <c r="D64" s="3478" t="s">
        <v>3608</v>
      </c>
      <c r="E64" s="3478" t="s">
        <v>3621</v>
      </c>
      <c r="F64" s="3478" t="s">
        <v>3632</v>
      </c>
      <c r="G64" s="3478" t="s">
        <v>3631</v>
      </c>
      <c r="H64" s="3478" t="s">
        <v>3438</v>
      </c>
      <c r="I64" s="3478">
        <v>45889.5</v>
      </c>
      <c r="J64" s="3478">
        <v>100957</v>
      </c>
      <c r="K64" s="3478" t="s">
        <v>3448</v>
      </c>
      <c r="L64" s="3478" t="s">
        <v>3439</v>
      </c>
      <c r="M64" s="3478" t="s">
        <v>3640</v>
      </c>
      <c r="N64" s="3478" t="s">
        <v>3441</v>
      </c>
      <c r="O64" s="3478" t="s">
        <v>3480</v>
      </c>
      <c r="P64" s="3478" t="s">
        <v>3602</v>
      </c>
      <c r="Q64" s="3478" t="s">
        <v>3688</v>
      </c>
      <c r="R64" s="3478" t="s">
        <v>3616</v>
      </c>
      <c r="S64" s="3478" t="s">
        <v>3615</v>
      </c>
      <c r="T64" s="3478" t="s">
        <v>3478</v>
      </c>
      <c r="U64" s="3478" t="s">
        <v>3478</v>
      </c>
      <c r="V64" s="3478">
        <v>0</v>
      </c>
      <c r="W64" s="3478">
        <v>0</v>
      </c>
      <c r="X64" s="3478">
        <v>0</v>
      </c>
      <c r="Y64" s="3478">
        <v>0</v>
      </c>
      <c r="Z64" s="3481">
        <v>43698.000497685185</v>
      </c>
      <c r="AA64" s="3481">
        <v>43718.000497685185</v>
      </c>
      <c r="AB64" s="3481">
        <v>43733.000497685185</v>
      </c>
      <c r="AC64" s="3480">
        <v>43733.000497685185</v>
      </c>
      <c r="AD64" s="3478" t="s">
        <v>3687</v>
      </c>
      <c r="AE64" s="3478" t="s">
        <v>3442</v>
      </c>
      <c r="AF64" s="3478" t="s">
        <v>3626</v>
      </c>
      <c r="AG64" s="3478" t="s">
        <v>3625</v>
      </c>
      <c r="AH64" s="3478" t="s">
        <v>3624</v>
      </c>
      <c r="AI64" s="3478">
        <v>260000</v>
      </c>
      <c r="AJ64" s="3478">
        <v>52000</v>
      </c>
      <c r="AK64" s="3478" t="s">
        <v>3676</v>
      </c>
      <c r="AL64" s="3478">
        <v>327000</v>
      </c>
      <c r="AM64" s="3478">
        <v>3777.19</v>
      </c>
      <c r="AN64" s="3478">
        <v>4750.54</v>
      </c>
      <c r="AO64" s="3478">
        <v>25754</v>
      </c>
      <c r="AP64" s="3479">
        <v>32390</v>
      </c>
      <c r="AQ64" s="3478" t="s">
        <v>3478</v>
      </c>
      <c r="AR64" s="3478" t="s">
        <v>3478</v>
      </c>
      <c r="AS64" s="3478">
        <v>25.77</v>
      </c>
      <c r="AT64" s="3478" t="s">
        <v>3635</v>
      </c>
      <c r="AU64" s="3478" t="s">
        <v>3480</v>
      </c>
      <c r="AV64" s="3478" t="s">
        <v>3478</v>
      </c>
      <c r="AW64" s="3478">
        <v>52449</v>
      </c>
      <c r="AX64" s="3478" t="s">
        <v>3478</v>
      </c>
      <c r="AY64" s="3478" t="s">
        <v>3478</v>
      </c>
      <c r="AZ64" s="3478">
        <v>26695</v>
      </c>
    </row>
    <row r="65" spans="1:52" hidden="1">
      <c r="A65" s="3478" t="s">
        <v>3686</v>
      </c>
      <c r="B65" s="3478" t="s">
        <v>3378</v>
      </c>
      <c r="C65" s="3478" t="s">
        <v>3685</v>
      </c>
      <c r="D65" s="3478" t="s">
        <v>3608</v>
      </c>
      <c r="E65" s="3478" t="s">
        <v>3607</v>
      </c>
      <c r="F65" s="3478" t="s">
        <v>3684</v>
      </c>
      <c r="G65" s="3478" t="s">
        <v>3683</v>
      </c>
      <c r="H65" s="3478" t="s">
        <v>3455</v>
      </c>
      <c r="I65" s="3478">
        <v>21023.4</v>
      </c>
      <c r="J65" s="3478">
        <v>63070</v>
      </c>
      <c r="K65" s="3478" t="s">
        <v>3682</v>
      </c>
      <c r="L65" s="3478" t="s">
        <v>3439</v>
      </c>
      <c r="M65" s="3478" t="s">
        <v>3618</v>
      </c>
      <c r="N65" s="3478" t="s">
        <v>3441</v>
      </c>
      <c r="O65" s="3478" t="s">
        <v>3480</v>
      </c>
      <c r="P65" s="3478" t="s">
        <v>3681</v>
      </c>
      <c r="Q65" s="3478" t="s">
        <v>3654</v>
      </c>
      <c r="R65" s="3478" t="s">
        <v>3653</v>
      </c>
      <c r="S65" s="3478" t="s">
        <v>3652</v>
      </c>
      <c r="T65" s="3478" t="s">
        <v>3478</v>
      </c>
      <c r="U65" s="3478" t="s">
        <v>3478</v>
      </c>
      <c r="V65" s="3478">
        <v>0</v>
      </c>
      <c r="W65" s="3478">
        <v>0</v>
      </c>
      <c r="X65" s="3478">
        <v>0</v>
      </c>
      <c r="Y65" s="3478">
        <v>0</v>
      </c>
      <c r="Z65" s="3481">
        <v>43698.000497685185</v>
      </c>
      <c r="AA65" s="3481">
        <v>43718.000497685185</v>
      </c>
      <c r="AB65" s="3481">
        <v>43733.000497685185</v>
      </c>
      <c r="AC65" s="3480">
        <v>43733.000497685185</v>
      </c>
      <c r="AD65" s="3478" t="s">
        <v>3680</v>
      </c>
      <c r="AE65" s="3478" t="s">
        <v>3442</v>
      </c>
      <c r="AF65" s="3478" t="s">
        <v>3679</v>
      </c>
      <c r="AG65" s="3478" t="s">
        <v>3678</v>
      </c>
      <c r="AH65" s="3478" t="s">
        <v>3677</v>
      </c>
      <c r="AI65" s="3478">
        <v>266900</v>
      </c>
      <c r="AJ65" s="3478">
        <v>53500</v>
      </c>
      <c r="AK65" s="3478" t="s">
        <v>3676</v>
      </c>
      <c r="AL65" s="3478">
        <v>282000</v>
      </c>
      <c r="AM65" s="3478">
        <v>8463.58</v>
      </c>
      <c r="AN65" s="3478">
        <v>8942.42</v>
      </c>
      <c r="AO65" s="3478">
        <v>42318</v>
      </c>
      <c r="AP65" s="3479">
        <v>44712</v>
      </c>
      <c r="AQ65" s="3478" t="s">
        <v>3478</v>
      </c>
      <c r="AR65" s="3478" t="s">
        <v>3478</v>
      </c>
      <c r="AS65" s="3478">
        <v>5.66</v>
      </c>
      <c r="AT65" s="3478" t="s">
        <v>3635</v>
      </c>
      <c r="AU65" s="3478" t="s">
        <v>3480</v>
      </c>
      <c r="AV65" s="3478" t="s">
        <v>3478</v>
      </c>
      <c r="AW65" s="3478" t="s">
        <v>3480</v>
      </c>
      <c r="AX65" s="3478" t="s">
        <v>3478</v>
      </c>
      <c r="AY65" s="3478" t="s">
        <v>3478</v>
      </c>
      <c r="AZ65" s="3478" t="s">
        <v>3478</v>
      </c>
    </row>
    <row r="66" spans="1:52" s="3482" customFormat="1">
      <c r="A66" s="3482" t="s">
        <v>3494</v>
      </c>
      <c r="B66" s="3478" t="s">
        <v>3378</v>
      </c>
      <c r="C66" s="3478" t="s">
        <v>3483</v>
      </c>
      <c r="D66" s="3478" t="s">
        <v>3608</v>
      </c>
      <c r="E66" s="3478" t="s">
        <v>3621</v>
      </c>
      <c r="F66" s="3482" t="s">
        <v>3632</v>
      </c>
      <c r="G66" s="3482" t="s">
        <v>3631</v>
      </c>
      <c r="H66" s="3482" t="s">
        <v>3455</v>
      </c>
      <c r="I66" s="3482">
        <v>47891.78</v>
      </c>
      <c r="J66" s="3482">
        <v>108059</v>
      </c>
      <c r="K66" s="3482" t="s">
        <v>3456</v>
      </c>
      <c r="L66" s="3482" t="s">
        <v>3439</v>
      </c>
      <c r="M66" s="3482" t="s">
        <v>3668</v>
      </c>
      <c r="N66" s="3482" t="s">
        <v>3441</v>
      </c>
      <c r="O66" s="3482" t="s">
        <v>3480</v>
      </c>
      <c r="P66" s="3482" t="s">
        <v>3478</v>
      </c>
      <c r="Q66" s="3482" t="s">
        <v>3478</v>
      </c>
      <c r="R66" s="3482" t="s">
        <v>3667</v>
      </c>
      <c r="S66" s="3482" t="s">
        <v>3667</v>
      </c>
      <c r="T66" s="3482" t="s">
        <v>3672</v>
      </c>
      <c r="U66" s="3482" t="s">
        <v>3478</v>
      </c>
      <c r="V66" s="3482">
        <v>0</v>
      </c>
      <c r="W66" s="3482">
        <v>0</v>
      </c>
      <c r="X66" s="3482">
        <v>103979</v>
      </c>
      <c r="Y66" s="3482">
        <v>103979</v>
      </c>
      <c r="Z66" s="3485">
        <v>43678.000497685185</v>
      </c>
      <c r="AA66" s="3485">
        <v>43699.000497685185</v>
      </c>
      <c r="AB66" s="3485">
        <v>43720.000497685185</v>
      </c>
      <c r="AC66" s="3484">
        <v>43720.000497685185</v>
      </c>
      <c r="AD66" s="3482" t="s">
        <v>3675</v>
      </c>
      <c r="AE66" s="3482" t="s">
        <v>3442</v>
      </c>
      <c r="AF66" s="3482" t="s">
        <v>3674</v>
      </c>
      <c r="AG66" s="3482" t="s">
        <v>3673</v>
      </c>
      <c r="AH66" s="3482" t="s">
        <v>3644</v>
      </c>
      <c r="AI66" s="3482">
        <v>151283</v>
      </c>
      <c r="AJ66" s="3482">
        <v>50000</v>
      </c>
      <c r="AK66" s="3482" t="s">
        <v>633</v>
      </c>
      <c r="AL66" s="3482">
        <v>151283</v>
      </c>
      <c r="AM66" s="3482">
        <v>2105.9</v>
      </c>
      <c r="AN66" s="3482">
        <v>2105.9</v>
      </c>
      <c r="AO66" s="3482">
        <v>14000</v>
      </c>
      <c r="AP66" s="3483">
        <v>14000</v>
      </c>
      <c r="AQ66" s="3482" t="s">
        <v>3478</v>
      </c>
      <c r="AR66" s="3482" t="s">
        <v>3478</v>
      </c>
      <c r="AS66" s="3482">
        <v>0</v>
      </c>
      <c r="AT66" s="3482" t="s">
        <v>3635</v>
      </c>
      <c r="AU66" s="3482" t="s">
        <v>3480</v>
      </c>
      <c r="AV66" s="3482" t="s">
        <v>3478</v>
      </c>
      <c r="AW66" s="3482">
        <v>29000</v>
      </c>
      <c r="AX66" s="3482" t="s">
        <v>3478</v>
      </c>
      <c r="AY66" s="3482" t="s">
        <v>3478</v>
      </c>
      <c r="AZ66" s="3482">
        <v>15000</v>
      </c>
    </row>
    <row r="67" spans="1:52" s="3482" customFormat="1">
      <c r="A67" s="3482" t="s">
        <v>3490</v>
      </c>
      <c r="B67" s="3482" t="s">
        <v>3378</v>
      </c>
      <c r="C67" s="3482" t="s">
        <v>3454</v>
      </c>
      <c r="D67" s="3482" t="s">
        <v>3608</v>
      </c>
      <c r="E67" s="3482" t="s">
        <v>3621</v>
      </c>
      <c r="F67" s="3482" t="s">
        <v>3632</v>
      </c>
      <c r="G67" s="3482" t="s">
        <v>3631</v>
      </c>
      <c r="H67" s="3482" t="s">
        <v>3455</v>
      </c>
      <c r="I67" s="3482">
        <v>41000.75</v>
      </c>
      <c r="J67" s="3482">
        <v>102502</v>
      </c>
      <c r="K67" s="3482" t="s">
        <v>3456</v>
      </c>
      <c r="L67" s="3482" t="s">
        <v>3439</v>
      </c>
      <c r="M67" s="3482" t="s">
        <v>3449</v>
      </c>
      <c r="N67" s="3482" t="s">
        <v>3441</v>
      </c>
      <c r="O67" s="3482" t="s">
        <v>3480</v>
      </c>
      <c r="P67" s="3482" t="s">
        <v>3478</v>
      </c>
      <c r="Q67" s="3482" t="s">
        <v>3478</v>
      </c>
      <c r="R67" s="3482" t="s">
        <v>3667</v>
      </c>
      <c r="S67" s="3482" t="s">
        <v>3667</v>
      </c>
      <c r="T67" s="3482" t="s">
        <v>3672</v>
      </c>
      <c r="U67" s="3482" t="s">
        <v>3478</v>
      </c>
      <c r="V67" s="3482">
        <v>0</v>
      </c>
      <c r="W67" s="3482">
        <v>0</v>
      </c>
      <c r="X67" s="3482">
        <v>102502</v>
      </c>
      <c r="Y67" s="3482">
        <v>102502</v>
      </c>
      <c r="Z67" s="3485">
        <v>43678.000497685185</v>
      </c>
      <c r="AA67" s="3485">
        <v>44224.000497685185</v>
      </c>
      <c r="AB67" s="3485">
        <v>44236.000497685185</v>
      </c>
      <c r="AC67" s="3484">
        <v>44237.000497685185</v>
      </c>
      <c r="AD67" s="3482" t="s">
        <v>3671</v>
      </c>
      <c r="AE67" s="3482" t="s">
        <v>3442</v>
      </c>
      <c r="AF67" s="3482" t="s">
        <v>3670</v>
      </c>
      <c r="AG67" s="3482" t="s">
        <v>3669</v>
      </c>
      <c r="AH67" s="3482" t="s">
        <v>3662</v>
      </c>
      <c r="AI67" s="3482">
        <v>146578</v>
      </c>
      <c r="AJ67" s="3482">
        <v>45000</v>
      </c>
      <c r="AK67" s="3482" t="s">
        <v>633</v>
      </c>
      <c r="AL67" s="3482">
        <v>146578</v>
      </c>
      <c r="AM67" s="3482">
        <v>2383.34</v>
      </c>
      <c r="AN67" s="3482">
        <v>2383.34</v>
      </c>
      <c r="AO67" s="3482">
        <v>14300</v>
      </c>
      <c r="AP67" s="3483">
        <v>14300</v>
      </c>
      <c r="AQ67" s="3482" t="s">
        <v>3478</v>
      </c>
      <c r="AR67" s="3482" t="s">
        <v>3478</v>
      </c>
      <c r="AS67" s="3482">
        <v>0</v>
      </c>
      <c r="AT67" s="3482" t="s">
        <v>3635</v>
      </c>
      <c r="AU67" s="3482" t="s">
        <v>3480</v>
      </c>
      <c r="AV67" s="3482" t="s">
        <v>3478</v>
      </c>
      <c r="AW67" s="3482" t="s">
        <v>3480</v>
      </c>
      <c r="AX67" s="3482" t="s">
        <v>3478</v>
      </c>
      <c r="AY67" s="3482" t="s">
        <v>3478</v>
      </c>
      <c r="AZ67" s="3482" t="s">
        <v>3478</v>
      </c>
    </row>
    <row r="68" spans="1:52" s="3482" customFormat="1">
      <c r="A68" s="3482" t="s">
        <v>3496</v>
      </c>
      <c r="B68" s="3482" t="s">
        <v>3378</v>
      </c>
      <c r="C68" s="3482" t="s">
        <v>3460</v>
      </c>
      <c r="D68" s="3482" t="s">
        <v>3608</v>
      </c>
      <c r="E68" s="3482" t="s">
        <v>3621</v>
      </c>
      <c r="F68" s="3482" t="s">
        <v>3632</v>
      </c>
      <c r="G68" s="3482" t="s">
        <v>3631</v>
      </c>
      <c r="H68" s="3482" t="s">
        <v>3455</v>
      </c>
      <c r="I68" s="3482">
        <v>62136.68</v>
      </c>
      <c r="J68" s="3482">
        <v>147241</v>
      </c>
      <c r="K68" s="3482" t="s">
        <v>3456</v>
      </c>
      <c r="L68" s="3482" t="s">
        <v>3439</v>
      </c>
      <c r="M68" s="3482" t="s">
        <v>3668</v>
      </c>
      <c r="N68" s="3482" t="s">
        <v>3441</v>
      </c>
      <c r="O68" s="3482" t="s">
        <v>3480</v>
      </c>
      <c r="P68" s="3482" t="s">
        <v>3478</v>
      </c>
      <c r="Q68" s="3482" t="s">
        <v>3478</v>
      </c>
      <c r="R68" s="3482" t="s">
        <v>3667</v>
      </c>
      <c r="S68" s="3482" t="s">
        <v>3667</v>
      </c>
      <c r="T68" s="3482" t="s">
        <v>3666</v>
      </c>
      <c r="U68" s="3482" t="s">
        <v>3478</v>
      </c>
      <c r="V68" s="3482">
        <v>0</v>
      </c>
      <c r="W68" s="3482">
        <v>0</v>
      </c>
      <c r="X68" s="3482">
        <v>141841</v>
      </c>
      <c r="Y68" s="3482">
        <v>141841</v>
      </c>
      <c r="Z68" s="3485">
        <v>43678.000497685185</v>
      </c>
      <c r="AA68" s="3485">
        <v>44176.000497685185</v>
      </c>
      <c r="AB68" s="3485">
        <v>44190.000497685185</v>
      </c>
      <c r="AC68" s="3484">
        <v>44190.000497685185</v>
      </c>
      <c r="AD68" s="3482" t="s">
        <v>3665</v>
      </c>
      <c r="AE68" s="3482" t="s">
        <v>3442</v>
      </c>
      <c r="AF68" s="3482" t="s">
        <v>3664</v>
      </c>
      <c r="AG68" s="3482" t="s">
        <v>3663</v>
      </c>
      <c r="AH68" s="3482" t="s">
        <v>3662</v>
      </c>
      <c r="AI68" s="3482">
        <v>206138</v>
      </c>
      <c r="AJ68" s="3482">
        <v>62000</v>
      </c>
      <c r="AK68" s="3482" t="s">
        <v>3463</v>
      </c>
      <c r="AL68" s="3482">
        <v>206138</v>
      </c>
      <c r="AM68" s="3482">
        <v>2211.66</v>
      </c>
      <c r="AN68" s="3482">
        <v>2211.66</v>
      </c>
      <c r="AO68" s="3482">
        <v>14000</v>
      </c>
      <c r="AP68" s="3483">
        <v>14000</v>
      </c>
      <c r="AQ68" s="3482" t="s">
        <v>3478</v>
      </c>
      <c r="AR68" s="3482" t="s">
        <v>3478</v>
      </c>
      <c r="AS68" s="3482">
        <v>0</v>
      </c>
      <c r="AT68" s="3482" t="s">
        <v>3635</v>
      </c>
      <c r="AU68" s="3482" t="s">
        <v>3480</v>
      </c>
      <c r="AV68" s="3482" t="s">
        <v>3478</v>
      </c>
      <c r="AW68" s="3482">
        <v>29000</v>
      </c>
      <c r="AX68" s="3482" t="s">
        <v>3478</v>
      </c>
      <c r="AY68" s="3482" t="s">
        <v>3478</v>
      </c>
      <c r="AZ68" s="3482">
        <v>15000</v>
      </c>
    </row>
    <row r="69" spans="1:52" hidden="1">
      <c r="A69" s="3478" t="s">
        <v>3661</v>
      </c>
      <c r="B69" s="3478" t="s">
        <v>3378</v>
      </c>
      <c r="C69" s="3478" t="s">
        <v>3660</v>
      </c>
      <c r="D69" s="3478" t="s">
        <v>3608</v>
      </c>
      <c r="E69" s="3478" t="s">
        <v>3607</v>
      </c>
      <c r="F69" s="3478" t="s">
        <v>3659</v>
      </c>
      <c r="G69" s="3478" t="s">
        <v>3658</v>
      </c>
      <c r="H69" s="3478" t="s">
        <v>3455</v>
      </c>
      <c r="I69" s="3478">
        <v>59111.519999999997</v>
      </c>
      <c r="J69" s="3478">
        <v>216452</v>
      </c>
      <c r="K69" s="3478" t="s">
        <v>3657</v>
      </c>
      <c r="L69" s="3478" t="s">
        <v>3439</v>
      </c>
      <c r="M69" s="3478" t="s">
        <v>3656</v>
      </c>
      <c r="N69" s="3478" t="s">
        <v>3441</v>
      </c>
      <c r="O69" s="3478" t="s">
        <v>3480</v>
      </c>
      <c r="P69" s="3478" t="s">
        <v>3655</v>
      </c>
      <c r="Q69" s="3478" t="s">
        <v>3654</v>
      </c>
      <c r="R69" s="3478" t="s">
        <v>3653</v>
      </c>
      <c r="S69" s="3478" t="s">
        <v>3652</v>
      </c>
      <c r="T69" s="3478" t="s">
        <v>3478</v>
      </c>
      <c r="U69" s="3478" t="s">
        <v>3478</v>
      </c>
      <c r="V69" s="3478">
        <v>0</v>
      </c>
      <c r="W69" s="3478">
        <v>0</v>
      </c>
      <c r="X69" s="3478">
        <v>0</v>
      </c>
      <c r="Y69" s="3478">
        <v>0</v>
      </c>
      <c r="Z69" s="3481">
        <v>43627.000497685185</v>
      </c>
      <c r="AA69" s="3481">
        <v>43647.000497685185</v>
      </c>
      <c r="AB69" s="3481">
        <v>43661.000497685185</v>
      </c>
      <c r="AC69" s="3480">
        <v>43661.000497685185</v>
      </c>
      <c r="AD69" s="3478" t="s">
        <v>3651</v>
      </c>
      <c r="AE69" s="3478" t="s">
        <v>3442</v>
      </c>
      <c r="AF69" s="3478" t="s">
        <v>3626</v>
      </c>
      <c r="AG69" s="3478" t="s">
        <v>3625</v>
      </c>
      <c r="AH69" s="3478" t="s">
        <v>3624</v>
      </c>
      <c r="AI69" s="3478">
        <v>668400</v>
      </c>
      <c r="AJ69" s="3478">
        <v>133680</v>
      </c>
      <c r="AK69" s="3478" t="s">
        <v>633</v>
      </c>
      <c r="AL69" s="3478">
        <v>794000</v>
      </c>
      <c r="AM69" s="3478">
        <v>7538.29</v>
      </c>
      <c r="AN69" s="3478">
        <v>8954.83</v>
      </c>
      <c r="AO69" s="3478">
        <v>30880</v>
      </c>
      <c r="AP69" s="3479">
        <v>36683</v>
      </c>
      <c r="AQ69" s="3478" t="s">
        <v>3478</v>
      </c>
      <c r="AR69" s="3478" t="s">
        <v>3478</v>
      </c>
      <c r="AS69" s="3478">
        <v>18.79</v>
      </c>
      <c r="AT69" s="3478" t="s">
        <v>3635</v>
      </c>
      <c r="AU69" s="3478" t="s">
        <v>3480</v>
      </c>
      <c r="AV69" s="3478" t="s">
        <v>3478</v>
      </c>
      <c r="AW69" s="3478" t="s">
        <v>3480</v>
      </c>
      <c r="AX69" s="3478" t="s">
        <v>3478</v>
      </c>
      <c r="AY69" s="3478" t="s">
        <v>3478</v>
      </c>
      <c r="AZ69" s="3478" t="s">
        <v>3478</v>
      </c>
    </row>
    <row r="70" spans="1:52">
      <c r="A70" s="3478" t="s">
        <v>3650</v>
      </c>
      <c r="B70" s="3478" t="s">
        <v>3378</v>
      </c>
      <c r="C70" s="3478" t="s">
        <v>3649</v>
      </c>
      <c r="D70" s="3478" t="s">
        <v>3608</v>
      </c>
      <c r="E70" s="3478" t="s">
        <v>3621</v>
      </c>
      <c r="F70" s="3478" t="s">
        <v>3632</v>
      </c>
      <c r="G70" s="3478" t="s">
        <v>3648</v>
      </c>
      <c r="H70" s="3478" t="s">
        <v>3438</v>
      </c>
      <c r="I70" s="3478">
        <v>36478.1</v>
      </c>
      <c r="J70" s="3478">
        <v>80251.820000000007</v>
      </c>
      <c r="K70" s="3478" t="s">
        <v>3448</v>
      </c>
      <c r="L70" s="3478" t="s">
        <v>3439</v>
      </c>
      <c r="M70" s="3478" t="s">
        <v>3640</v>
      </c>
      <c r="N70" s="3478" t="s">
        <v>3441</v>
      </c>
      <c r="O70" s="3478" t="s">
        <v>3480</v>
      </c>
      <c r="P70" s="3478" t="s">
        <v>3602</v>
      </c>
      <c r="Q70" s="3478" t="s">
        <v>3639</v>
      </c>
      <c r="R70" s="3478" t="s">
        <v>3616</v>
      </c>
      <c r="S70" s="3478" t="s">
        <v>3615</v>
      </c>
      <c r="T70" s="3478" t="s">
        <v>3478</v>
      </c>
      <c r="U70" s="3478" t="s">
        <v>3478</v>
      </c>
      <c r="V70" s="3478">
        <v>0</v>
      </c>
      <c r="W70" s="3478">
        <v>0</v>
      </c>
      <c r="X70" s="3478">
        <v>0</v>
      </c>
      <c r="Y70" s="3478">
        <v>0</v>
      </c>
      <c r="Z70" s="3481">
        <v>43602.000497685185</v>
      </c>
      <c r="AA70" s="3481">
        <v>43622.000497685185</v>
      </c>
      <c r="AB70" s="3481">
        <v>43637.000497685185</v>
      </c>
      <c r="AC70" s="3480">
        <v>43637.000497685185</v>
      </c>
      <c r="AD70" s="3478" t="s">
        <v>3647</v>
      </c>
      <c r="AE70" s="3478" t="s">
        <v>3442</v>
      </c>
      <c r="AF70" s="3478" t="s">
        <v>3646</v>
      </c>
      <c r="AG70" s="3478" t="s">
        <v>3645</v>
      </c>
      <c r="AH70" s="3478" t="s">
        <v>3644</v>
      </c>
      <c r="AI70" s="3478">
        <v>225000</v>
      </c>
      <c r="AJ70" s="3478">
        <v>45000</v>
      </c>
      <c r="AK70" s="3478" t="s">
        <v>633</v>
      </c>
      <c r="AL70" s="3478">
        <v>318000</v>
      </c>
      <c r="AM70" s="3478">
        <v>4112.0600000000004</v>
      </c>
      <c r="AN70" s="3478">
        <v>5811.71</v>
      </c>
      <c r="AO70" s="3478">
        <v>28037</v>
      </c>
      <c r="AP70" s="3479">
        <v>39625</v>
      </c>
      <c r="AQ70" s="3478" t="s">
        <v>3478</v>
      </c>
      <c r="AR70" s="3478" t="s">
        <v>3478</v>
      </c>
      <c r="AS70" s="3478">
        <v>41.33</v>
      </c>
      <c r="AT70" s="3478" t="s">
        <v>3635</v>
      </c>
      <c r="AU70" s="3478" t="s">
        <v>3480</v>
      </c>
      <c r="AV70" s="3478" t="s">
        <v>3478</v>
      </c>
      <c r="AW70" s="3478">
        <v>54160</v>
      </c>
      <c r="AX70" s="3478" t="s">
        <v>3478</v>
      </c>
      <c r="AY70" s="3478" t="s">
        <v>3478</v>
      </c>
      <c r="AZ70" s="3478">
        <v>26123</v>
      </c>
    </row>
    <row r="71" spans="1:52">
      <c r="A71" s="3478" t="s">
        <v>3643</v>
      </c>
      <c r="B71" s="3478" t="s">
        <v>3378</v>
      </c>
      <c r="C71" s="3478" t="s">
        <v>3642</v>
      </c>
      <c r="D71" s="3478" t="s">
        <v>3608</v>
      </c>
      <c r="E71" s="3478" t="s">
        <v>3621</v>
      </c>
      <c r="F71" s="3478" t="s">
        <v>3632</v>
      </c>
      <c r="G71" s="3478" t="s">
        <v>3641</v>
      </c>
      <c r="H71" s="3478" t="s">
        <v>3438</v>
      </c>
      <c r="I71" s="3478">
        <v>35704</v>
      </c>
      <c r="J71" s="3478">
        <v>78548.800000000003</v>
      </c>
      <c r="K71" s="3478" t="s">
        <v>3448</v>
      </c>
      <c r="L71" s="3478" t="s">
        <v>3439</v>
      </c>
      <c r="M71" s="3478" t="s">
        <v>3640</v>
      </c>
      <c r="N71" s="3478" t="s">
        <v>3441</v>
      </c>
      <c r="O71" s="3478" t="s">
        <v>3480</v>
      </c>
      <c r="P71" s="3478" t="s">
        <v>3602</v>
      </c>
      <c r="Q71" s="3478" t="s">
        <v>3639</v>
      </c>
      <c r="R71" s="3478" t="s">
        <v>3616</v>
      </c>
      <c r="S71" s="3478" t="s">
        <v>3615</v>
      </c>
      <c r="T71" s="3478" t="s">
        <v>3478</v>
      </c>
      <c r="U71" s="3478" t="s">
        <v>3478</v>
      </c>
      <c r="V71" s="3478">
        <v>0</v>
      </c>
      <c r="W71" s="3478">
        <v>0</v>
      </c>
      <c r="X71" s="3478">
        <v>0</v>
      </c>
      <c r="Y71" s="3478">
        <v>0</v>
      </c>
      <c r="Z71" s="3481">
        <v>43602.000497685185</v>
      </c>
      <c r="AA71" s="3481">
        <v>43622.000497685185</v>
      </c>
      <c r="AB71" s="3481">
        <v>43637.000497685185</v>
      </c>
      <c r="AC71" s="3480">
        <v>43637.000497685185</v>
      </c>
      <c r="AD71" s="3478" t="s">
        <v>3638</v>
      </c>
      <c r="AE71" s="3478" t="s">
        <v>3442</v>
      </c>
      <c r="AF71" s="3478" t="s">
        <v>3637</v>
      </c>
      <c r="AG71" s="3478" t="s">
        <v>3636</v>
      </c>
      <c r="AH71" s="3478" t="s">
        <v>3624</v>
      </c>
      <c r="AI71" s="3478">
        <v>220000</v>
      </c>
      <c r="AJ71" s="3478">
        <v>44000</v>
      </c>
      <c r="AK71" s="3478" t="s">
        <v>633</v>
      </c>
      <c r="AL71" s="3478">
        <v>306000</v>
      </c>
      <c r="AM71" s="3478">
        <v>4107.8500000000004</v>
      </c>
      <c r="AN71" s="3478">
        <v>5713.65</v>
      </c>
      <c r="AO71" s="3478">
        <v>28008</v>
      </c>
      <c r="AP71" s="3479">
        <v>38957</v>
      </c>
      <c r="AQ71" s="3478" t="s">
        <v>3478</v>
      </c>
      <c r="AR71" s="3478" t="s">
        <v>3478</v>
      </c>
      <c r="AS71" s="3478">
        <v>39.090000000000003</v>
      </c>
      <c r="AT71" s="3478" t="s">
        <v>3635</v>
      </c>
      <c r="AU71" s="3478" t="s">
        <v>3480</v>
      </c>
      <c r="AV71" s="3478" t="s">
        <v>3478</v>
      </c>
      <c r="AW71" s="3478">
        <v>54160</v>
      </c>
      <c r="AX71" s="3478" t="s">
        <v>3478</v>
      </c>
      <c r="AY71" s="3478" t="s">
        <v>3478</v>
      </c>
      <c r="AZ71" s="3478">
        <v>26152</v>
      </c>
    </row>
    <row r="72" spans="1:52">
      <c r="A72" s="3478" t="s">
        <v>3634</v>
      </c>
      <c r="B72" s="3478" t="s">
        <v>3378</v>
      </c>
      <c r="C72" s="3478" t="s">
        <v>3633</v>
      </c>
      <c r="D72" s="3478" t="s">
        <v>3608</v>
      </c>
      <c r="E72" s="3478" t="s">
        <v>3621</v>
      </c>
      <c r="F72" s="3478" t="s">
        <v>3632</v>
      </c>
      <c r="G72" s="3478" t="s">
        <v>3631</v>
      </c>
      <c r="H72" s="3478" t="s">
        <v>3455</v>
      </c>
      <c r="I72" s="3478">
        <v>79276.91</v>
      </c>
      <c r="J72" s="3478">
        <v>177023</v>
      </c>
      <c r="K72" s="3478" t="s">
        <v>3630</v>
      </c>
      <c r="L72" s="3478" t="s">
        <v>3439</v>
      </c>
      <c r="M72" s="3478" t="s">
        <v>3629</v>
      </c>
      <c r="N72" s="3478" t="s">
        <v>3441</v>
      </c>
      <c r="O72" s="3478" t="s">
        <v>3480</v>
      </c>
      <c r="P72" s="3478" t="s">
        <v>3602</v>
      </c>
      <c r="Q72" s="3478" t="s">
        <v>3628</v>
      </c>
      <c r="R72" s="3478" t="s">
        <v>3616</v>
      </c>
      <c r="S72" s="3478" t="s">
        <v>3615</v>
      </c>
      <c r="T72" s="3478" t="s">
        <v>3478</v>
      </c>
      <c r="U72" s="3478" t="s">
        <v>3478</v>
      </c>
      <c r="V72" s="3478">
        <v>0</v>
      </c>
      <c r="W72" s="3478">
        <v>0</v>
      </c>
      <c r="X72" s="3478">
        <v>0</v>
      </c>
      <c r="Y72" s="3478">
        <v>0</v>
      </c>
      <c r="Z72" s="3481">
        <v>43482.000497685185</v>
      </c>
      <c r="AA72" s="3481">
        <v>43507.000497685185</v>
      </c>
      <c r="AB72" s="3481">
        <v>43521.000497685185</v>
      </c>
      <c r="AC72" s="3480">
        <v>43521.000497685185</v>
      </c>
      <c r="AD72" s="3478" t="s">
        <v>3627</v>
      </c>
      <c r="AE72" s="3478" t="s">
        <v>3442</v>
      </c>
      <c r="AF72" s="3478" t="s">
        <v>3626</v>
      </c>
      <c r="AG72" s="3478" t="s">
        <v>3625</v>
      </c>
      <c r="AH72" s="3478" t="s">
        <v>3624</v>
      </c>
      <c r="AI72" s="3478">
        <v>365000</v>
      </c>
      <c r="AJ72" s="3478">
        <v>73000</v>
      </c>
      <c r="AK72" s="3478" t="s">
        <v>633</v>
      </c>
      <c r="AL72" s="3478">
        <v>444000</v>
      </c>
      <c r="AM72" s="3478">
        <v>3069.41</v>
      </c>
      <c r="AN72" s="3478">
        <v>3733.75</v>
      </c>
      <c r="AO72" s="3478">
        <v>20619</v>
      </c>
      <c r="AP72" s="3479">
        <v>25081</v>
      </c>
      <c r="AQ72" s="3478" t="s">
        <v>3478</v>
      </c>
      <c r="AR72" s="3478" t="s">
        <v>3478</v>
      </c>
      <c r="AS72" s="3478">
        <v>21.64</v>
      </c>
      <c r="AT72" s="3478" t="s">
        <v>3611</v>
      </c>
      <c r="AU72" s="3478" t="s">
        <v>3480</v>
      </c>
      <c r="AV72" s="3478" t="s">
        <v>3478</v>
      </c>
      <c r="AW72" s="3478">
        <v>55128</v>
      </c>
      <c r="AX72" s="3478" t="s">
        <v>3478</v>
      </c>
      <c r="AY72" s="3478" t="s">
        <v>3478</v>
      </c>
      <c r="AZ72" s="3478">
        <v>34509</v>
      </c>
    </row>
    <row r="73" spans="1:52">
      <c r="A73" s="3478" t="s">
        <v>3623</v>
      </c>
      <c r="B73" s="3478" t="s">
        <v>3378</v>
      </c>
      <c r="C73" s="3478" t="s">
        <v>3622</v>
      </c>
      <c r="D73" s="3478" t="s">
        <v>3608</v>
      </c>
      <c r="E73" s="3478" t="s">
        <v>3621</v>
      </c>
      <c r="F73" s="3478" t="s">
        <v>3620</v>
      </c>
      <c r="G73" s="3478" t="s">
        <v>3619</v>
      </c>
      <c r="H73" s="3478" t="s">
        <v>3455</v>
      </c>
      <c r="I73" s="3478">
        <v>34940.019999999997</v>
      </c>
      <c r="J73" s="3478">
        <v>94338</v>
      </c>
      <c r="K73" s="3478">
        <v>2.7</v>
      </c>
      <c r="L73" s="3478" t="s">
        <v>3439</v>
      </c>
      <c r="M73" s="3478" t="s">
        <v>3618</v>
      </c>
      <c r="N73" s="3478" t="s">
        <v>3441</v>
      </c>
      <c r="O73" s="3478" t="s">
        <v>3480</v>
      </c>
      <c r="P73" s="3478" t="s">
        <v>3602</v>
      </c>
      <c r="Q73" s="3478" t="s">
        <v>3617</v>
      </c>
      <c r="R73" s="3478" t="s">
        <v>3616</v>
      </c>
      <c r="S73" s="3478" t="s">
        <v>3615</v>
      </c>
      <c r="T73" s="3478" t="s">
        <v>3478</v>
      </c>
      <c r="U73" s="3478" t="s">
        <v>3478</v>
      </c>
      <c r="V73" s="3478">
        <v>0</v>
      </c>
      <c r="W73" s="3478">
        <v>0</v>
      </c>
      <c r="X73" s="3478">
        <v>0</v>
      </c>
      <c r="Y73" s="3478">
        <v>0</v>
      </c>
      <c r="Z73" s="3481">
        <v>43482.000497685185</v>
      </c>
      <c r="AA73" s="3481">
        <v>43507.000497685185</v>
      </c>
      <c r="AB73" s="3481">
        <v>43521.000497685185</v>
      </c>
      <c r="AC73" s="3480">
        <v>43521.000497685185</v>
      </c>
      <c r="AD73" s="3478" t="s">
        <v>3614</v>
      </c>
      <c r="AE73" s="3478" t="s">
        <v>3442</v>
      </c>
      <c r="AF73" s="3478" t="s">
        <v>3613</v>
      </c>
      <c r="AG73" s="3478" t="s">
        <v>3612</v>
      </c>
      <c r="AH73" s="3478" t="s">
        <v>3595</v>
      </c>
      <c r="AI73" s="3478">
        <v>210000</v>
      </c>
      <c r="AJ73" s="3478">
        <v>42000</v>
      </c>
      <c r="AK73" s="3478" t="s">
        <v>633</v>
      </c>
      <c r="AL73" s="3478">
        <v>246000</v>
      </c>
      <c r="AM73" s="3478">
        <v>4006.87</v>
      </c>
      <c r="AN73" s="3478">
        <v>4693.76</v>
      </c>
      <c r="AO73" s="3478">
        <v>22260</v>
      </c>
      <c r="AP73" s="3479">
        <v>26076</v>
      </c>
      <c r="AQ73" s="3478" t="s">
        <v>3478</v>
      </c>
      <c r="AR73" s="3478" t="s">
        <v>3478</v>
      </c>
      <c r="AS73" s="3478">
        <v>17.14</v>
      </c>
      <c r="AT73" s="3478" t="s">
        <v>3611</v>
      </c>
      <c r="AU73" s="3478" t="s">
        <v>3480</v>
      </c>
      <c r="AV73" s="3478" t="s">
        <v>3478</v>
      </c>
      <c r="AW73" s="3478">
        <v>55800</v>
      </c>
      <c r="AX73" s="3478" t="s">
        <v>3478</v>
      </c>
      <c r="AY73" s="3478" t="s">
        <v>3478</v>
      </c>
      <c r="AZ73" s="3478">
        <v>33540</v>
      </c>
    </row>
    <row r="74" spans="1:52" hidden="1">
      <c r="A74" s="3478" t="s">
        <v>3610</v>
      </c>
      <c r="B74" s="3478" t="s">
        <v>3378</v>
      </c>
      <c r="C74" s="3478" t="s">
        <v>3609</v>
      </c>
      <c r="D74" s="3478" t="s">
        <v>3608</v>
      </c>
      <c r="E74" s="3478" t="s">
        <v>3607</v>
      </c>
      <c r="F74" s="3478" t="s">
        <v>3606</v>
      </c>
      <c r="G74" s="3478" t="s">
        <v>3605</v>
      </c>
      <c r="H74" s="3478" t="s">
        <v>3455</v>
      </c>
      <c r="I74" s="3478">
        <v>168662.9</v>
      </c>
      <c r="J74" s="3478">
        <v>184119</v>
      </c>
      <c r="K74" s="3478" t="s">
        <v>3604</v>
      </c>
      <c r="L74" s="3478" t="s">
        <v>3439</v>
      </c>
      <c r="M74" s="3478" t="s">
        <v>3603</v>
      </c>
      <c r="N74" s="3478" t="s">
        <v>3441</v>
      </c>
      <c r="O74" s="3478" t="s">
        <v>3480</v>
      </c>
      <c r="P74" s="3478" t="s">
        <v>3602</v>
      </c>
      <c r="Q74" s="3478" t="s">
        <v>3601</v>
      </c>
      <c r="R74" s="3478" t="s">
        <v>3600</v>
      </c>
      <c r="S74" s="3478" t="s">
        <v>3599</v>
      </c>
      <c r="T74" s="3478" t="s">
        <v>3478</v>
      </c>
      <c r="U74" s="3478" t="s">
        <v>3478</v>
      </c>
      <c r="V74" s="3478">
        <v>0</v>
      </c>
      <c r="W74" s="3478">
        <v>0</v>
      </c>
      <c r="X74" s="3478">
        <v>0</v>
      </c>
      <c r="Y74" s="3478">
        <v>0</v>
      </c>
      <c r="Z74" s="3481">
        <v>43463.000497685185</v>
      </c>
      <c r="AA74" s="3481">
        <v>43486.000497685185</v>
      </c>
      <c r="AB74" s="3481">
        <v>43498.000497685185</v>
      </c>
      <c r="AC74" s="3480">
        <v>43498.000497685185</v>
      </c>
      <c r="AD74" s="3478" t="s">
        <v>3598</v>
      </c>
      <c r="AE74" s="3478" t="s">
        <v>3442</v>
      </c>
      <c r="AF74" s="3478" t="s">
        <v>3597</v>
      </c>
      <c r="AG74" s="3478" t="s">
        <v>3596</v>
      </c>
      <c r="AH74" s="3478" t="s">
        <v>3595</v>
      </c>
      <c r="AI74" s="3478">
        <v>405000</v>
      </c>
      <c r="AJ74" s="3478">
        <v>81000</v>
      </c>
      <c r="AK74" s="3478" t="s">
        <v>633</v>
      </c>
      <c r="AL74" s="3478">
        <v>430000</v>
      </c>
      <c r="AM74" s="3478">
        <v>1600.83</v>
      </c>
      <c r="AN74" s="3478">
        <v>1699.64</v>
      </c>
      <c r="AO74" s="3478">
        <v>21997</v>
      </c>
      <c r="AP74" s="3479">
        <v>23354</v>
      </c>
      <c r="AQ74" s="3478" t="s">
        <v>3478</v>
      </c>
      <c r="AR74" s="3478" t="s">
        <v>3478</v>
      </c>
      <c r="AS74" s="3478">
        <v>6.17</v>
      </c>
      <c r="AT74" s="3478" t="s">
        <v>3594</v>
      </c>
      <c r="AU74" s="3478" t="s">
        <v>3480</v>
      </c>
      <c r="AV74" s="3478" t="s">
        <v>3478</v>
      </c>
      <c r="AW74" s="3478">
        <v>42289</v>
      </c>
      <c r="AX74" s="3478" t="s">
        <v>3478</v>
      </c>
      <c r="AY74" s="3478" t="s">
        <v>3478</v>
      </c>
      <c r="AZ74" s="3478">
        <v>20292</v>
      </c>
    </row>
  </sheetData>
  <autoFilter ref="A1:AZ74" xr:uid="{54626BF2-EEAD-41E3-91CD-28F281E7F1B4}">
    <filterColumn colId="4">
      <filters>
        <filter val="大兴区"/>
      </filters>
    </filterColumn>
  </autoFilter>
  <mergeCells count="2652">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V10"/>
    <mergeCell ref="W10"/>
    <mergeCell ref="X10"/>
    <mergeCell ref="AB9"/>
    <mergeCell ref="AC9"/>
    <mergeCell ref="AD9"/>
    <mergeCell ref="Z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L9"/>
    <mergeCell ref="AM9"/>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C12"/>
    <mergeCell ref="D12"/>
    <mergeCell ref="E12"/>
    <mergeCell ref="F12"/>
    <mergeCell ref="G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N12"/>
    <mergeCell ref="O12"/>
    <mergeCell ref="V11"/>
    <mergeCell ref="R11"/>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V22"/>
    <mergeCell ref="W22"/>
    <mergeCell ref="X22"/>
    <mergeCell ref="AB21"/>
    <mergeCell ref="AC21"/>
    <mergeCell ref="AD21"/>
    <mergeCell ref="Z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L21"/>
    <mergeCell ref="AM21"/>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C24"/>
    <mergeCell ref="D24"/>
    <mergeCell ref="E24"/>
    <mergeCell ref="F24"/>
    <mergeCell ref="G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N24"/>
    <mergeCell ref="O24"/>
    <mergeCell ref="V23"/>
    <mergeCell ref="R23"/>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V34"/>
    <mergeCell ref="W34"/>
    <mergeCell ref="X34"/>
    <mergeCell ref="AB33"/>
    <mergeCell ref="AC33"/>
    <mergeCell ref="AD33"/>
    <mergeCell ref="Z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L33"/>
    <mergeCell ref="AM33"/>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C36"/>
    <mergeCell ref="D36"/>
    <mergeCell ref="E36"/>
    <mergeCell ref="F36"/>
    <mergeCell ref="G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N36"/>
    <mergeCell ref="O36"/>
    <mergeCell ref="V35"/>
    <mergeCell ref="R35"/>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s>
  <phoneticPr fontId="27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18"/>
      <c r="F1" s="1875"/>
      <c r="G1" s="1231" t="s">
        <v>1767</v>
      </c>
      <c r="H1" s="1230"/>
      <c r="I1" s="1230"/>
      <c r="J1" s="1230"/>
      <c r="K1" s="1232"/>
      <c r="L1" s="1233"/>
      <c r="M1" s="1234"/>
      <c r="N1" s="1234"/>
      <c r="O1" s="1234"/>
      <c r="P1" s="1942"/>
      <c r="Q1" s="1943"/>
      <c r="R1" s="1943"/>
      <c r="S1" s="1943"/>
      <c r="T1" s="1943"/>
      <c r="U1" s="1943"/>
      <c r="V1" s="1943"/>
      <c r="W1" s="1943"/>
      <c r="X1" s="1943"/>
      <c r="Y1" s="1943"/>
      <c r="Z1" s="1943"/>
      <c r="AA1" s="1943"/>
      <c r="AB1" s="1943"/>
      <c r="AC1" s="1944"/>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5"/>
      <c r="Q2" s="908"/>
      <c r="R2" s="908"/>
      <c r="S2" s="908"/>
      <c r="T2" s="908"/>
      <c r="U2" s="908"/>
      <c r="V2" s="908"/>
      <c r="W2" s="908"/>
      <c r="X2" s="908"/>
      <c r="Y2" s="908"/>
      <c r="Z2" s="908"/>
      <c r="AA2" s="908"/>
      <c r="AB2" s="908"/>
      <c r="AC2" s="1946"/>
    </row>
    <row r="3" spans="1:29" s="349" customFormat="1" ht="28.5" customHeight="1" thickBot="1">
      <c r="A3" s="200" t="s">
        <v>1464</v>
      </c>
      <c r="B3" s="555">
        <f>IF(C2="——",C49,ROUND(B2*10000/D3,0))</f>
        <v>0</v>
      </c>
      <c r="C3" s="351" t="s">
        <v>1768</v>
      </c>
      <c r="D3" s="350">
        <f>IF(D1="",'数据-汇总表'!E3,SUMIF('数据-汇总表'!$C19:$C33,D1,'数据-汇总表'!$E19:$E33))</f>
        <v>1</v>
      </c>
      <c r="E3" s="1947"/>
      <c r="F3" s="905"/>
      <c r="G3" s="904"/>
      <c r="H3" s="904"/>
      <c r="I3" s="904"/>
      <c r="J3" s="904"/>
      <c r="K3" s="906"/>
      <c r="L3" s="2726"/>
      <c r="M3" s="2727"/>
      <c r="N3" s="2727"/>
      <c r="O3" s="2727"/>
      <c r="P3" s="1945"/>
      <c r="Q3" s="908"/>
      <c r="R3" s="908"/>
      <c r="S3" s="908"/>
      <c r="T3" s="908"/>
      <c r="U3" s="908"/>
      <c r="V3" s="908"/>
      <c r="W3" s="908"/>
      <c r="X3" s="908"/>
      <c r="Y3" s="908"/>
      <c r="Z3" s="908"/>
      <c r="AA3" s="908"/>
      <c r="AB3" s="908"/>
      <c r="AC3" s="1947"/>
    </row>
    <row r="4" spans="1:29" ht="15">
      <c r="A4" s="352" t="s">
        <v>1769</v>
      </c>
      <c r="B4" s="353"/>
      <c r="C4" s="3710" t="s">
        <v>1770</v>
      </c>
      <c r="D4" s="3711"/>
      <c r="E4" s="3712" t="s">
        <v>1771</v>
      </c>
      <c r="F4" s="3713"/>
      <c r="G4" s="3710" t="s">
        <v>1772</v>
      </c>
      <c r="H4" s="3711"/>
      <c r="I4" s="3710" t="s">
        <v>1773</v>
      </c>
      <c r="J4" s="3711"/>
      <c r="K4" s="556" t="s">
        <v>1774</v>
      </c>
      <c r="L4" s="2707"/>
      <c r="M4" s="2708"/>
      <c r="N4" s="2708"/>
      <c r="O4" s="2708"/>
      <c r="P4" s="3714" t="s">
        <v>1775</v>
      </c>
      <c r="Q4" s="3715"/>
      <c r="R4" s="3697" t="s">
        <v>1771</v>
      </c>
      <c r="S4" s="3698"/>
      <c r="T4" s="3697" t="s">
        <v>1772</v>
      </c>
      <c r="U4" s="3698"/>
      <c r="V4" s="3722" t="s">
        <v>1773</v>
      </c>
      <c r="W4" s="3722"/>
      <c r="X4" s="1351"/>
      <c r="Y4" s="3697" t="s">
        <v>1775</v>
      </c>
      <c r="Z4" s="3698"/>
      <c r="AA4" s="3692" t="s">
        <v>1771</v>
      </c>
      <c r="AB4" s="3722" t="s">
        <v>1772</v>
      </c>
      <c r="AC4" s="3692" t="s">
        <v>1773</v>
      </c>
    </row>
    <row r="5" spans="1:29" ht="15">
      <c r="A5" s="355"/>
      <c r="B5" s="356"/>
      <c r="C5" s="3794" t="s">
        <v>1673</v>
      </c>
      <c r="D5" s="3795"/>
      <c r="E5" s="3792" t="s">
        <v>1674</v>
      </c>
      <c r="F5" s="3793"/>
      <c r="G5" s="3794" t="s">
        <v>1675</v>
      </c>
      <c r="H5" s="3795"/>
      <c r="I5" s="3794" t="s">
        <v>1676</v>
      </c>
      <c r="J5" s="3795"/>
      <c r="K5" s="556"/>
      <c r="L5" s="2707"/>
      <c r="M5" s="2708"/>
      <c r="N5" s="2708"/>
      <c r="O5" s="2708"/>
      <c r="P5" s="3716"/>
      <c r="Q5" s="3717"/>
      <c r="R5" s="3699"/>
      <c r="S5" s="3700"/>
      <c r="T5" s="3699"/>
      <c r="U5" s="3700"/>
      <c r="V5" s="3722"/>
      <c r="W5" s="3722"/>
      <c r="X5" s="1351"/>
      <c r="Y5" s="3699"/>
      <c r="Z5" s="3700"/>
      <c r="AA5" s="3693"/>
      <c r="AB5" s="3722"/>
      <c r="AC5" s="3693"/>
    </row>
    <row r="6" spans="1:29" ht="15.75" thickBot="1">
      <c r="A6" s="357"/>
      <c r="B6" s="358"/>
      <c r="C6" s="3705" t="s">
        <v>1677</v>
      </c>
      <c r="D6" s="3706"/>
      <c r="E6" s="3796" t="s">
        <v>1677</v>
      </c>
      <c r="F6" s="3797"/>
      <c r="G6" s="3705" t="s">
        <v>1677</v>
      </c>
      <c r="H6" s="3706"/>
      <c r="I6" s="3705" t="s">
        <v>1677</v>
      </c>
      <c r="J6" s="3706"/>
      <c r="K6" s="556" t="s">
        <v>1678</v>
      </c>
      <c r="L6" s="2707"/>
      <c r="M6" s="2708"/>
      <c r="N6" s="2708"/>
      <c r="O6" s="2708"/>
      <c r="P6" s="3718"/>
      <c r="Q6" s="3719"/>
      <c r="R6" s="3699"/>
      <c r="S6" s="3700"/>
      <c r="T6" s="3720"/>
      <c r="U6" s="3721"/>
      <c r="V6" s="3722"/>
      <c r="W6" s="3722"/>
      <c r="X6" s="1351"/>
      <c r="Y6" s="3720"/>
      <c r="Z6" s="3721"/>
      <c r="AA6" s="3694"/>
      <c r="AB6" s="3722"/>
      <c r="AC6" s="3694"/>
    </row>
    <row r="7" spans="1:29" s="108" customFormat="1" ht="15.75" thickBot="1">
      <c r="A7" s="359" t="s">
        <v>1679</v>
      </c>
      <c r="B7" s="360"/>
      <c r="C7" s="361">
        <f>'数据-取费表'!B2</f>
        <v>44970</v>
      </c>
      <c r="D7" s="362">
        <v>100</v>
      </c>
      <c r="E7" s="363"/>
      <c r="F7" s="364">
        <f>SUMIF(58:58,YEAR(E7)&amp;"-"&amp;MONTH(E7),59:59)</f>
        <v>0</v>
      </c>
      <c r="G7" s="363"/>
      <c r="H7" s="362">
        <f>SUMIF(58:58,YEAR(G7)&amp;"-"&amp;MONTH(G7),59:59)</f>
        <v>0</v>
      </c>
      <c r="I7" s="363"/>
      <c r="J7" s="362">
        <f>SUMIF(58:58,YEAR(I7)&amp;"-"&amp;MONTH(I7),59:59)</f>
        <v>0</v>
      </c>
      <c r="K7" s="557"/>
      <c r="L7" s="2709"/>
      <c r="M7" s="2710"/>
      <c r="N7" s="2710"/>
      <c r="O7" s="2710"/>
      <c r="P7" s="3695" t="s">
        <v>1680</v>
      </c>
      <c r="Q7" s="3725"/>
      <c r="R7" s="697" t="s">
        <v>14</v>
      </c>
      <c r="S7" s="698">
        <f t="shared" ref="S7:S15" si="0">F7</f>
        <v>0</v>
      </c>
      <c r="T7" s="697" t="s">
        <v>14</v>
      </c>
      <c r="U7" s="698">
        <f t="shared" ref="U7:U15" si="1">H7</f>
        <v>0</v>
      </c>
      <c r="V7" s="697" t="s">
        <v>14</v>
      </c>
      <c r="W7" s="698">
        <f t="shared" ref="W7:W15" si="2">J7</f>
        <v>0</v>
      </c>
      <c r="X7" s="699"/>
      <c r="Y7" s="3695" t="s">
        <v>1680</v>
      </c>
      <c r="Z7" s="3696"/>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695" t="s">
        <v>1683</v>
      </c>
      <c r="Q8" s="3696"/>
      <c r="R8" s="697" t="s">
        <v>14</v>
      </c>
      <c r="S8" s="698">
        <f t="shared" si="0"/>
        <v>100</v>
      </c>
      <c r="T8" s="697" t="s">
        <v>14</v>
      </c>
      <c r="U8" s="698">
        <f t="shared" si="1"/>
        <v>100</v>
      </c>
      <c r="V8" s="697" t="s">
        <v>14</v>
      </c>
      <c r="W8" s="698">
        <f t="shared" si="2"/>
        <v>100</v>
      </c>
      <c r="X8" s="699"/>
      <c r="Y8" s="3695" t="s">
        <v>1683</v>
      </c>
      <c r="Z8" s="3696"/>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9"/>
      <c r="M9" s="2710"/>
      <c r="N9" s="2710"/>
      <c r="O9" s="2710"/>
      <c r="P9" s="3735" t="s">
        <v>1686</v>
      </c>
      <c r="Q9" s="1339" t="str">
        <f t="shared" ref="Q9:Q15" si="6">B9</f>
        <v>用途</v>
      </c>
      <c r="R9" s="697" t="s">
        <v>14</v>
      </c>
      <c r="S9" s="698">
        <f t="shared" si="0"/>
        <v>100</v>
      </c>
      <c r="T9" s="697" t="s">
        <v>14</v>
      </c>
      <c r="U9" s="698">
        <f t="shared" si="1"/>
        <v>100</v>
      </c>
      <c r="V9" s="697" t="s">
        <v>14</v>
      </c>
      <c r="W9" s="698">
        <f t="shared" si="2"/>
        <v>100</v>
      </c>
      <c r="X9" s="699"/>
      <c r="Y9" s="3660"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7"/>
      <c r="F10" s="373">
        <f>SUMIF(65:65,E10,66:66)-SUMIF(65:65,C10,66:66)+100</f>
        <v>100</v>
      </c>
      <c r="G10" s="3426"/>
      <c r="H10" s="125">
        <f>SUMIF(65:65,G10,66:66)-SUMIF(65:65,C10,66:66)+100</f>
        <v>100</v>
      </c>
      <c r="I10" s="3426"/>
      <c r="J10" s="125">
        <f>SUMIF(65:65,I10,66:66)-SUMIF(65:65,C10,66:66)+100</f>
        <v>100</v>
      </c>
      <c r="K10" s="557"/>
      <c r="L10" s="2711"/>
      <c r="M10" s="2712"/>
      <c r="N10" s="2712"/>
      <c r="O10" s="2712"/>
      <c r="P10" s="3735"/>
      <c r="Q10" s="1339" t="str">
        <f t="shared" si="6"/>
        <v>土地使用年限（年）</v>
      </c>
      <c r="R10" s="697" t="s">
        <v>14</v>
      </c>
      <c r="S10" s="698">
        <f t="shared" si="0"/>
        <v>100</v>
      </c>
      <c r="T10" s="697" t="s">
        <v>14</v>
      </c>
      <c r="U10" s="698">
        <f t="shared" si="1"/>
        <v>100</v>
      </c>
      <c r="V10" s="697" t="s">
        <v>14</v>
      </c>
      <c r="W10" s="698">
        <f t="shared" si="2"/>
        <v>100</v>
      </c>
      <c r="X10" s="699"/>
      <c r="Y10" s="3660"/>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3"/>
      <c r="M11" s="2708"/>
      <c r="N11" s="2708"/>
      <c r="O11" s="2708"/>
      <c r="P11" s="3735"/>
      <c r="Q11" s="1339" t="str">
        <f t="shared" si="6"/>
        <v>容积率</v>
      </c>
      <c r="R11" s="697" t="s">
        <v>14</v>
      </c>
      <c r="S11" s="698" t="e">
        <f t="shared" si="0"/>
        <v>#N/A</v>
      </c>
      <c r="T11" s="697" t="s">
        <v>14</v>
      </c>
      <c r="U11" s="698" t="e">
        <f t="shared" si="1"/>
        <v>#N/A</v>
      </c>
      <c r="V11" s="697" t="s">
        <v>14</v>
      </c>
      <c r="W11" s="698" t="e">
        <f t="shared" si="2"/>
        <v>#N/A</v>
      </c>
      <c r="X11" s="699"/>
      <c r="Y11" s="3660"/>
      <c r="Z11" s="52" t="str">
        <f t="shared" si="7"/>
        <v>容积率</v>
      </c>
      <c r="AA11" s="700" t="e">
        <f t="shared" si="3"/>
        <v>#N/A</v>
      </c>
      <c r="AB11" s="700" t="e">
        <f t="shared" si="4"/>
        <v>#N/A</v>
      </c>
      <c r="AC11" s="700" t="e">
        <f t="shared" si="5"/>
        <v>#N/A</v>
      </c>
    </row>
    <row r="12" spans="1:29" s="108" customFormat="1" ht="15">
      <c r="A12" s="379"/>
      <c r="B12" s="1888">
        <v>111</v>
      </c>
      <c r="C12" s="380"/>
      <c r="D12" s="381">
        <v>100</v>
      </c>
      <c r="E12" s="382"/>
      <c r="F12" s="373">
        <f>SUMIF(70:70,E12,71:71)-SUMIF(70:70,C12,71:71)+100</f>
        <v>100</v>
      </c>
      <c r="G12" s="382"/>
      <c r="H12" s="125">
        <f>SUMIF(70:70,G12,71:71)-SUMIF(70:70,C12,71:71)+100</f>
        <v>100</v>
      </c>
      <c r="I12" s="382"/>
      <c r="J12" s="125">
        <f>SUMIF(70:70,I12,71:71)-SUMIF(70:70,C12,71:71)+100</f>
        <v>100</v>
      </c>
      <c r="K12" s="559"/>
      <c r="L12" s="2709"/>
      <c r="M12" s="2710"/>
      <c r="N12" s="2710"/>
      <c r="O12" s="2710"/>
      <c r="P12" s="3735"/>
      <c r="Q12" s="1339">
        <f t="shared" si="6"/>
        <v>111</v>
      </c>
      <c r="R12" s="697" t="s">
        <v>14</v>
      </c>
      <c r="S12" s="698">
        <f t="shared" si="0"/>
        <v>100</v>
      </c>
      <c r="T12" s="697" t="s">
        <v>14</v>
      </c>
      <c r="U12" s="698">
        <f t="shared" si="1"/>
        <v>100</v>
      </c>
      <c r="V12" s="697" t="s">
        <v>14</v>
      </c>
      <c r="W12" s="698">
        <f t="shared" si="2"/>
        <v>100</v>
      </c>
      <c r="X12" s="699"/>
      <c r="Y12" s="3660"/>
      <c r="Z12" s="52">
        <f t="shared" si="7"/>
        <v>111</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35"/>
      <c r="Q13" s="1339">
        <f t="shared" si="6"/>
        <v>111</v>
      </c>
      <c r="R13" s="697" t="s">
        <v>14</v>
      </c>
      <c r="S13" s="698">
        <f t="shared" si="0"/>
        <v>100</v>
      </c>
      <c r="T13" s="697" t="s">
        <v>14</v>
      </c>
      <c r="U13" s="698">
        <f t="shared" si="1"/>
        <v>100</v>
      </c>
      <c r="V13" s="697" t="s">
        <v>14</v>
      </c>
      <c r="W13" s="698">
        <f t="shared" si="2"/>
        <v>100</v>
      </c>
      <c r="X13" s="699"/>
      <c r="Y13" s="3660"/>
      <c r="Z13" s="52">
        <f t="shared" si="7"/>
        <v>111</v>
      </c>
      <c r="AA13" s="700">
        <f t="shared" si="3"/>
        <v>1</v>
      </c>
      <c r="AB13" s="700">
        <f t="shared" si="4"/>
        <v>1</v>
      </c>
      <c r="AC13" s="700">
        <f t="shared" si="5"/>
        <v>1</v>
      </c>
    </row>
    <row r="14" spans="1:29" ht="15.75" thickBot="1">
      <c r="A14" s="384"/>
      <c r="B14" s="1890">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35"/>
      <c r="Q14" s="1339">
        <f t="shared" si="6"/>
        <v>111</v>
      </c>
      <c r="R14" s="697" t="s">
        <v>14</v>
      </c>
      <c r="S14" s="698">
        <f t="shared" si="0"/>
        <v>100</v>
      </c>
      <c r="T14" s="697" t="s">
        <v>14</v>
      </c>
      <c r="U14" s="698">
        <f t="shared" si="1"/>
        <v>100</v>
      </c>
      <c r="V14" s="697" t="s">
        <v>14</v>
      </c>
      <c r="W14" s="698">
        <f t="shared" si="2"/>
        <v>100</v>
      </c>
      <c r="X14" s="699"/>
      <c r="Y14" s="3660"/>
      <c r="Z14" s="52">
        <f t="shared" si="7"/>
        <v>111</v>
      </c>
      <c r="AA14" s="700">
        <f t="shared" si="3"/>
        <v>1</v>
      </c>
      <c r="AB14" s="700">
        <f t="shared" si="4"/>
        <v>1</v>
      </c>
      <c r="AC14" s="700">
        <f t="shared" si="5"/>
        <v>1</v>
      </c>
    </row>
    <row r="15" spans="1:29" ht="71.25">
      <c r="A15" s="388" t="s">
        <v>1690</v>
      </c>
      <c r="B15" s="61" t="s">
        <v>1777</v>
      </c>
      <c r="C15" s="1891"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782" t="s">
        <v>1691</v>
      </c>
      <c r="Q15" s="1348" t="str">
        <f t="shared" si="6"/>
        <v>商业繁华度</v>
      </c>
      <c r="R15" s="701" t="s">
        <v>14</v>
      </c>
      <c r="S15" s="702">
        <f t="shared" si="0"/>
        <v>100</v>
      </c>
      <c r="T15" s="701" t="s">
        <v>14</v>
      </c>
      <c r="U15" s="702">
        <f t="shared" si="1"/>
        <v>100</v>
      </c>
      <c r="V15" s="701" t="s">
        <v>14</v>
      </c>
      <c r="W15" s="702">
        <f t="shared" si="2"/>
        <v>100</v>
      </c>
      <c r="X15" s="1351"/>
      <c r="Y15" s="3726"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4"/>
      <c r="M16" s="2708"/>
      <c r="N16" s="2708"/>
      <c r="O16" s="2708"/>
      <c r="P16" s="3783"/>
      <c r="Q16" s="1348"/>
      <c r="R16" s="701"/>
      <c r="S16" s="702"/>
      <c r="T16" s="701"/>
      <c r="U16" s="702"/>
      <c r="V16" s="701"/>
      <c r="W16" s="702"/>
      <c r="X16" s="1351"/>
      <c r="Y16" s="3727"/>
      <c r="Z16" s="1352"/>
      <c r="AA16" s="1349">
        <v>1</v>
      </c>
      <c r="AB16" s="1349">
        <v>1</v>
      </c>
      <c r="AC16" s="1349">
        <v>1</v>
      </c>
    </row>
    <row r="17" spans="1:29" ht="156.75">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783"/>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2714"/>
      <c r="M18" s="2708"/>
      <c r="N18" s="2708"/>
      <c r="O18" s="2708"/>
      <c r="P18" s="3783"/>
      <c r="Q18" s="1348"/>
      <c r="R18" s="701"/>
      <c r="S18" s="702"/>
      <c r="T18" s="701"/>
      <c r="U18" s="702"/>
      <c r="V18" s="701"/>
      <c r="W18" s="702"/>
      <c r="X18" s="1351"/>
      <c r="Y18" s="3727"/>
      <c r="Z18" s="1352"/>
      <c r="AA18" s="1349">
        <v>1</v>
      </c>
      <c r="AB18" s="1349">
        <v>1</v>
      </c>
      <c r="AC18" s="1349">
        <v>1</v>
      </c>
    </row>
    <row r="19" spans="1:29" ht="142.5">
      <c r="A19" s="376"/>
      <c r="B19" s="399" t="s">
        <v>1778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783"/>
      <c r="Q19" s="1348" t="str">
        <f>B19</f>
        <v>公共配套设施</v>
      </c>
      <c r="R19" s="701" t="s">
        <v>14</v>
      </c>
      <c r="S19" s="702">
        <f>F19</f>
        <v>100</v>
      </c>
      <c r="T19" s="701" t="s">
        <v>14</v>
      </c>
      <c r="U19" s="702">
        <f>H19</f>
        <v>100</v>
      </c>
      <c r="V19" s="701" t="s">
        <v>14</v>
      </c>
      <c r="W19" s="702">
        <f>J19</f>
        <v>100</v>
      </c>
      <c r="X19" s="1351"/>
      <c r="Y19" s="3727"/>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2714"/>
      <c r="M20" s="2708"/>
      <c r="N20" s="2708"/>
      <c r="O20" s="2708"/>
      <c r="P20" s="3783"/>
      <c r="Q20" s="1348"/>
      <c r="R20" s="701"/>
      <c r="S20" s="702"/>
      <c r="T20" s="701"/>
      <c r="U20" s="702"/>
      <c r="V20" s="701"/>
      <c r="W20" s="702"/>
      <c r="X20" s="1351"/>
      <c r="Y20" s="3727"/>
      <c r="Z20" s="1352"/>
      <c r="AA20" s="1349">
        <v>1</v>
      </c>
      <c r="AB20" s="1349">
        <v>1</v>
      </c>
      <c r="AC20" s="1349">
        <v>1</v>
      </c>
    </row>
    <row r="21" spans="1:29" ht="42.75">
      <c r="A21" s="376"/>
      <c r="B21" s="1127" t="s">
        <v>1779</v>
      </c>
      <c r="C21" s="1895" t="str">
        <f>估价对象房地状况!C8</f>
        <v>估价对象所在区域基础设施水平-六通</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783"/>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2714"/>
      <c r="M22" s="2708"/>
      <c r="N22" s="2708"/>
      <c r="O22" s="2708"/>
      <c r="P22" s="3783"/>
      <c r="Q22" s="1348"/>
      <c r="R22" s="701"/>
      <c r="S22" s="702"/>
      <c r="T22" s="701"/>
      <c r="U22" s="702"/>
      <c r="V22" s="701"/>
      <c r="W22" s="702"/>
      <c r="X22" s="1351"/>
      <c r="Y22" s="3727"/>
      <c r="Z22" s="1352"/>
      <c r="AA22" s="1349">
        <v>1</v>
      </c>
      <c r="AB22" s="1349">
        <v>1</v>
      </c>
      <c r="AC22" s="1349">
        <v>1</v>
      </c>
    </row>
    <row r="23" spans="1:29" ht="85.5">
      <c r="A23" s="376"/>
      <c r="B23" s="399" t="s">
        <v>1261</v>
      </c>
      <c r="C23" s="1948" t="str">
        <f>估价对象房地状况!C9</f>
        <v>周边3公里范围内有南海子公园、志远庄公园等自然景观，人文景观较少，综合评价环境状况一般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783"/>
      <c r="Q23" s="1348" t="str">
        <f>B23</f>
        <v>自然及人文环境</v>
      </c>
      <c r="R23" s="701" t="s">
        <v>14</v>
      </c>
      <c r="S23" s="702">
        <f>F23</f>
        <v>100</v>
      </c>
      <c r="T23" s="701" t="s">
        <v>14</v>
      </c>
      <c r="U23" s="702">
        <f>H23</f>
        <v>100</v>
      </c>
      <c r="V23" s="701" t="s">
        <v>14</v>
      </c>
      <c r="W23" s="702">
        <f>J23</f>
        <v>100</v>
      </c>
      <c r="X23" s="1351"/>
      <c r="Y23" s="3727"/>
      <c r="Z23" s="1352" t="str">
        <f>Q23</f>
        <v>自然及人文环境</v>
      </c>
      <c r="AA23" s="1349">
        <f t="shared" si="3"/>
        <v>1</v>
      </c>
      <c r="AB23" s="1349">
        <f t="shared" si="4"/>
        <v>1</v>
      </c>
      <c r="AC23" s="1349">
        <f t="shared" si="5"/>
        <v>1</v>
      </c>
    </row>
    <row r="24" spans="1:29" ht="15">
      <c r="A24" s="376"/>
      <c r="B24" s="404"/>
      <c r="C24" s="395"/>
      <c r="D24" s="396"/>
      <c r="E24" s="1893"/>
      <c r="F24" s="397"/>
      <c r="G24" s="1892"/>
      <c r="H24" s="396"/>
      <c r="I24" s="1893"/>
      <c r="J24" s="396"/>
      <c r="K24" s="561"/>
      <c r="L24" s="2714"/>
      <c r="M24" s="2708"/>
      <c r="N24" s="2708"/>
      <c r="O24" s="2708"/>
      <c r="P24" s="3783"/>
      <c r="Q24" s="1348"/>
      <c r="R24" s="701"/>
      <c r="S24" s="702"/>
      <c r="T24" s="701"/>
      <c r="U24" s="702"/>
      <c r="V24" s="701"/>
      <c r="W24" s="702"/>
      <c r="X24" s="1351"/>
      <c r="Y24" s="3727"/>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783"/>
      <c r="Q25" s="1348" t="str">
        <f t="shared" ref="Q25:Q46" si="11">B25</f>
        <v>临街状况</v>
      </c>
      <c r="R25" s="701" t="s">
        <v>14</v>
      </c>
      <c r="S25" s="702">
        <f>F25</f>
        <v>100</v>
      </c>
      <c r="T25" s="701" t="s">
        <v>14</v>
      </c>
      <c r="U25" s="702">
        <f>H25</f>
        <v>100</v>
      </c>
      <c r="V25" s="701" t="s">
        <v>14</v>
      </c>
      <c r="W25" s="702">
        <f>J25</f>
        <v>100</v>
      </c>
      <c r="X25" s="1351"/>
      <c r="Y25" s="3727"/>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783"/>
      <c r="Q26" s="1348" t="str">
        <f t="shared" si="11"/>
        <v>平面位置/可视性</v>
      </c>
      <c r="R26" s="701" t="s">
        <v>14</v>
      </c>
      <c r="S26" s="702">
        <f>F26</f>
        <v>100</v>
      </c>
      <c r="T26" s="701" t="s">
        <v>14</v>
      </c>
      <c r="U26" s="702">
        <f>H26</f>
        <v>100</v>
      </c>
      <c r="V26" s="701" t="s">
        <v>14</v>
      </c>
      <c r="W26" s="702">
        <f>J26</f>
        <v>100</v>
      </c>
      <c r="X26" s="1351"/>
      <c r="Y26" s="3727"/>
      <c r="Z26" s="1352" t="str">
        <f>Q26</f>
        <v>平面位置/可视性</v>
      </c>
      <c r="AA26" s="1349">
        <f t="shared" si="3"/>
        <v>1</v>
      </c>
      <c r="AB26" s="1349">
        <f t="shared" si="4"/>
        <v>1</v>
      </c>
      <c r="AC26" s="1349">
        <f t="shared" si="5"/>
        <v>1</v>
      </c>
    </row>
    <row r="27" spans="1:29" s="108" customFormat="1" ht="15">
      <c r="A27" s="379"/>
      <c r="B27" s="399" t="s">
        <v>1782</v>
      </c>
      <c r="C27" s="1949"/>
      <c r="D27" s="410">
        <v>100</v>
      </c>
      <c r="E27" s="1949"/>
      <c r="F27" s="412">
        <f>SUMIF(90:90,E27,91:91)-SUMIF(90:90,C27,91:91)+100</f>
        <v>100</v>
      </c>
      <c r="G27" s="1949"/>
      <c r="H27" s="410">
        <f>SUMIF(90:90,G27,91:91)-SUMIF(90:90,C27,91:91)+100</f>
        <v>100</v>
      </c>
      <c r="I27" s="1949"/>
      <c r="J27" s="410">
        <f>SUMIF(90:90,I27,91:91)-SUMIF(90:90,C27,91:91)+100</f>
        <v>100</v>
      </c>
      <c r="K27" s="558"/>
      <c r="L27" s="2709"/>
      <c r="M27" s="2710"/>
      <c r="N27" s="2710"/>
      <c r="O27" s="2710"/>
      <c r="P27" s="3783"/>
      <c r="Q27" s="1339" t="str">
        <f t="shared" si="11"/>
        <v>人流量</v>
      </c>
      <c r="R27" s="697" t="s">
        <v>14</v>
      </c>
      <c r="S27" s="698">
        <f>F27</f>
        <v>100</v>
      </c>
      <c r="T27" s="697" t="s">
        <v>14</v>
      </c>
      <c r="U27" s="698">
        <f>H27</f>
        <v>100</v>
      </c>
      <c r="V27" s="697" t="s">
        <v>14</v>
      </c>
      <c r="W27" s="698">
        <f>J27</f>
        <v>100</v>
      </c>
      <c r="X27" s="699"/>
      <c r="Y27" s="3727"/>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783"/>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27"/>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783"/>
      <c r="Q29" s="1348">
        <f t="shared" si="11"/>
        <v>111</v>
      </c>
      <c r="R29" s="701" t="s">
        <v>14</v>
      </c>
      <c r="S29" s="702">
        <f t="shared" si="12"/>
        <v>100</v>
      </c>
      <c r="T29" s="701" t="s">
        <v>14</v>
      </c>
      <c r="U29" s="702">
        <f t="shared" si="13"/>
        <v>100</v>
      </c>
      <c r="V29" s="701" t="s">
        <v>14</v>
      </c>
      <c r="W29" s="702">
        <f t="shared" si="14"/>
        <v>100</v>
      </c>
      <c r="X29" s="1351"/>
      <c r="Y29" s="3727"/>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783"/>
      <c r="Q30" s="1348">
        <f t="shared" si="11"/>
        <v>111</v>
      </c>
      <c r="R30" s="701" t="s">
        <v>14</v>
      </c>
      <c r="S30" s="702">
        <f t="shared" si="12"/>
        <v>100</v>
      </c>
      <c r="T30" s="701" t="s">
        <v>14</v>
      </c>
      <c r="U30" s="702">
        <f t="shared" si="13"/>
        <v>100</v>
      </c>
      <c r="V30" s="701" t="s">
        <v>14</v>
      </c>
      <c r="W30" s="702">
        <f t="shared" si="14"/>
        <v>100</v>
      </c>
      <c r="X30" s="1351"/>
      <c r="Y30" s="3727"/>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783"/>
      <c r="Q31" s="1348">
        <f t="shared" si="11"/>
        <v>111</v>
      </c>
      <c r="R31" s="701" t="s">
        <v>14</v>
      </c>
      <c r="S31" s="702">
        <f t="shared" si="12"/>
        <v>100</v>
      </c>
      <c r="T31" s="701" t="s">
        <v>14</v>
      </c>
      <c r="U31" s="702">
        <f t="shared" si="13"/>
        <v>100</v>
      </c>
      <c r="V31" s="701" t="s">
        <v>14</v>
      </c>
      <c r="W31" s="702">
        <f t="shared" si="14"/>
        <v>100</v>
      </c>
      <c r="X31" s="1351"/>
      <c r="Y31" s="3727"/>
      <c r="Z31" s="1352">
        <f t="shared" si="15"/>
        <v>111</v>
      </c>
      <c r="AA31" s="1349">
        <f t="shared" si="3"/>
        <v>1</v>
      </c>
      <c r="AB31" s="1349">
        <f t="shared" si="4"/>
        <v>1</v>
      </c>
      <c r="AC31" s="1349">
        <f t="shared" si="5"/>
        <v>1</v>
      </c>
    </row>
    <row r="32" spans="1:29" ht="15">
      <c r="A32" s="388" t="s">
        <v>1694</v>
      </c>
      <c r="B32" s="63" t="s">
        <v>1784</v>
      </c>
      <c r="C32" s="1905"/>
      <c r="D32" s="415">
        <v>100</v>
      </c>
      <c r="E32" s="1905"/>
      <c r="F32" s="409">
        <f>SUMIF(100:100,E32,101:101)-SUMIF(100:100,C32,101:101)+100</f>
        <v>100</v>
      </c>
      <c r="G32" s="1905"/>
      <c r="H32" s="383">
        <f>SUMIF(100:100,G32,101:101)-SUMIF(100:100,C32,101:101)+100</f>
        <v>100</v>
      </c>
      <c r="I32" s="1905"/>
      <c r="J32" s="415">
        <f>SUMIF(100:100,I32,101:101)-SUMIF(100:100,C32,101:101)+100</f>
        <v>100</v>
      </c>
      <c r="K32" s="558"/>
      <c r="L32" s="2714"/>
      <c r="M32" s="2708"/>
      <c r="N32" s="2708"/>
      <c r="O32" s="2708"/>
      <c r="P32" s="3778" t="s">
        <v>1696</v>
      </c>
      <c r="Q32" s="1348" t="str">
        <f t="shared" si="11"/>
        <v>商业类型</v>
      </c>
      <c r="R32" s="701" t="s">
        <v>14</v>
      </c>
      <c r="S32" s="702">
        <f t="shared" si="12"/>
        <v>100</v>
      </c>
      <c r="T32" s="701" t="s">
        <v>14</v>
      </c>
      <c r="U32" s="702">
        <f t="shared" si="13"/>
        <v>100</v>
      </c>
      <c r="V32" s="701" t="s">
        <v>14</v>
      </c>
      <c r="W32" s="702">
        <f t="shared" si="14"/>
        <v>100</v>
      </c>
      <c r="X32" s="1351"/>
      <c r="Y32" s="3729" t="s">
        <v>1696</v>
      </c>
      <c r="Z32" s="1352" t="str">
        <f t="shared" si="15"/>
        <v>商业类型</v>
      </c>
      <c r="AA32" s="1349">
        <f t="shared" si="3"/>
        <v>1</v>
      </c>
      <c r="AB32" s="1349">
        <f t="shared" si="4"/>
        <v>1</v>
      </c>
      <c r="AC32" s="1349">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3"/>
      <c r="M33" s="2715"/>
      <c r="N33" s="2715"/>
      <c r="O33" s="2715"/>
      <c r="P33" s="3779"/>
      <c r="Q33" s="703" t="str">
        <f t="shared" si="11"/>
        <v>项目建筑规模</v>
      </c>
      <c r="R33" s="704" t="s">
        <v>14</v>
      </c>
      <c r="S33" s="705" t="e">
        <f t="shared" si="12"/>
        <v>#N/A</v>
      </c>
      <c r="T33" s="704" t="s">
        <v>14</v>
      </c>
      <c r="U33" s="705" t="e">
        <f t="shared" si="13"/>
        <v>#N/A</v>
      </c>
      <c r="V33" s="704" t="s">
        <v>14</v>
      </c>
      <c r="W33" s="705" t="e">
        <f t="shared" si="14"/>
        <v>#N/A</v>
      </c>
      <c r="X33" s="706"/>
      <c r="Y33" s="3729"/>
      <c r="Z33" s="707" t="str">
        <f t="shared" si="15"/>
        <v>项目建筑规模</v>
      </c>
      <c r="AA33" s="1349" t="e">
        <f t="shared" si="3"/>
        <v>#N/A</v>
      </c>
      <c r="AB33" s="1349" t="e">
        <f t="shared" si="4"/>
        <v>#N/A</v>
      </c>
      <c r="AC33" s="1349"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4"/>
      <c r="M34" s="2708"/>
      <c r="N34" s="2708"/>
      <c r="O34" s="2708"/>
      <c r="P34" s="3779"/>
      <c r="Q34" s="1348" t="str">
        <f t="shared" si="11"/>
        <v>建筑结构</v>
      </c>
      <c r="R34" s="701" t="s">
        <v>14</v>
      </c>
      <c r="S34" s="702">
        <f t="shared" si="12"/>
        <v>100</v>
      </c>
      <c r="T34" s="701" t="s">
        <v>14</v>
      </c>
      <c r="U34" s="702">
        <f t="shared" si="13"/>
        <v>100</v>
      </c>
      <c r="V34" s="701" t="s">
        <v>14</v>
      </c>
      <c r="W34" s="702">
        <f t="shared" si="14"/>
        <v>100</v>
      </c>
      <c r="X34" s="1351"/>
      <c r="Y34" s="3729"/>
      <c r="Z34" s="1352" t="str">
        <f t="shared" si="15"/>
        <v>建筑结构</v>
      </c>
      <c r="AA34" s="1349">
        <f t="shared" si="3"/>
        <v>1</v>
      </c>
      <c r="AB34" s="1349">
        <f t="shared" si="4"/>
        <v>1</v>
      </c>
      <c r="AC34" s="1349">
        <f t="shared" si="5"/>
        <v>1</v>
      </c>
    </row>
    <row r="35" spans="1:29" ht="15">
      <c r="A35" s="420"/>
      <c r="B35" s="372" t="s">
        <v>1785</v>
      </c>
      <c r="C35" s="1901"/>
      <c r="D35" s="383">
        <v>100</v>
      </c>
      <c r="E35" s="1901"/>
      <c r="F35" s="409">
        <f>SUMIF(107:107,E35,108:108)-SUMIF(107:107,C35,108:108)+100</f>
        <v>100</v>
      </c>
      <c r="G35" s="1901"/>
      <c r="H35" s="383">
        <f>SUMIF(107:107,G35,108:108)-SUMIF(107:107,C35,108:108)+100</f>
        <v>100</v>
      </c>
      <c r="I35" s="1901"/>
      <c r="J35" s="383">
        <f>SUMIF(107:107,I35,108:108)-SUMIF(107:107,C35,108:108)+100</f>
        <v>100</v>
      </c>
      <c r="K35" s="558"/>
      <c r="L35" s="2714"/>
      <c r="M35" s="2708"/>
      <c r="N35" s="2708"/>
      <c r="O35" s="2708"/>
      <c r="P35" s="3779"/>
      <c r="Q35" s="1348" t="str">
        <f t="shared" si="11"/>
        <v>公共部分装修</v>
      </c>
      <c r="R35" s="701" t="s">
        <v>14</v>
      </c>
      <c r="S35" s="702">
        <f t="shared" si="12"/>
        <v>100</v>
      </c>
      <c r="T35" s="701" t="s">
        <v>14</v>
      </c>
      <c r="U35" s="702">
        <f t="shared" si="13"/>
        <v>100</v>
      </c>
      <c r="V35" s="701" t="s">
        <v>14</v>
      </c>
      <c r="W35" s="702">
        <f t="shared" si="14"/>
        <v>100</v>
      </c>
      <c r="X35" s="1351"/>
      <c r="Y35" s="3729"/>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779"/>
      <c r="Q36" s="1348" t="str">
        <f t="shared" si="11"/>
        <v>成新度</v>
      </c>
      <c r="R36" s="701" t="s">
        <v>14</v>
      </c>
      <c r="S36" s="702" t="e">
        <f t="shared" si="12"/>
        <v>#N/A</v>
      </c>
      <c r="T36" s="701" t="s">
        <v>14</v>
      </c>
      <c r="U36" s="702" t="e">
        <f t="shared" si="13"/>
        <v>#N/A</v>
      </c>
      <c r="V36" s="701" t="s">
        <v>14</v>
      </c>
      <c r="W36" s="702" t="e">
        <f t="shared" si="14"/>
        <v>#N/A</v>
      </c>
      <c r="X36" s="1351"/>
      <c r="Y36" s="3729"/>
      <c r="Z36" s="1352" t="str">
        <f t="shared" si="15"/>
        <v>成新度</v>
      </c>
      <c r="AA36" s="1349" t="e">
        <f t="shared" si="3"/>
        <v>#N/A</v>
      </c>
      <c r="AB36" s="1349" t="e">
        <f t="shared" si="4"/>
        <v>#N/A</v>
      </c>
      <c r="AC36" s="1349" t="e">
        <f t="shared" si="5"/>
        <v>#N/A</v>
      </c>
    </row>
    <row r="37" spans="1:29" s="108" customFormat="1" ht="15">
      <c r="A37" s="421"/>
      <c r="B37" s="372" t="s">
        <v>1787</v>
      </c>
      <c r="C37" s="1901"/>
      <c r="D37" s="125">
        <v>100</v>
      </c>
      <c r="E37" s="1901"/>
      <c r="F37" s="409">
        <f>SUMIF(112:112,E37,113:113)-SUMIF(112:112,C37,113:113)+100</f>
        <v>100</v>
      </c>
      <c r="G37" s="1901"/>
      <c r="H37" s="383">
        <f>SUMIF(112:112,G37,113:113)-SUMIF(112:112,C37,113:113)+100</f>
        <v>100</v>
      </c>
      <c r="I37" s="1901"/>
      <c r="J37" s="383">
        <f>SUMIF(112:112,I37,113:113)-SUMIF(112:112,C37,113:113)+100</f>
        <v>100</v>
      </c>
      <c r="K37" s="558"/>
      <c r="L37" s="2709"/>
      <c r="M37" s="2710"/>
      <c r="N37" s="2710"/>
      <c r="O37" s="2710"/>
      <c r="P37" s="3779"/>
      <c r="Q37" s="1339" t="str">
        <f t="shared" si="11"/>
        <v>市政基础设施</v>
      </c>
      <c r="R37" s="697" t="s">
        <v>14</v>
      </c>
      <c r="S37" s="698">
        <f t="shared" si="12"/>
        <v>100</v>
      </c>
      <c r="T37" s="697" t="s">
        <v>14</v>
      </c>
      <c r="U37" s="698">
        <f t="shared" si="13"/>
        <v>100</v>
      </c>
      <c r="V37" s="697" t="s">
        <v>14</v>
      </c>
      <c r="W37" s="698">
        <f t="shared" si="14"/>
        <v>100</v>
      </c>
      <c r="X37" s="699"/>
      <c r="Y37" s="3729"/>
      <c r="Z37" s="52" t="str">
        <f t="shared" si="15"/>
        <v>市政基础设施</v>
      </c>
      <c r="AA37" s="700">
        <f t="shared" si="3"/>
        <v>1</v>
      </c>
      <c r="AB37" s="700">
        <f t="shared" si="4"/>
        <v>1</v>
      </c>
      <c r="AC37" s="700">
        <f t="shared" si="5"/>
        <v>1</v>
      </c>
    </row>
    <row r="38" spans="1:29" ht="15">
      <c r="A38" s="420"/>
      <c r="B38" s="372" t="s">
        <v>1788</v>
      </c>
      <c r="C38" s="1901"/>
      <c r="D38" s="383">
        <v>100</v>
      </c>
      <c r="E38" s="1901"/>
      <c r="F38" s="409">
        <f>SUMIF(114:114,E38,115:115)-SUMIF(114:114,C38,115:115)+100</f>
        <v>100</v>
      </c>
      <c r="G38" s="1901"/>
      <c r="H38" s="383">
        <f>SUMIF(114:114,G38,115:115)-SUMIF(114:114,C38,115:115)+100</f>
        <v>100</v>
      </c>
      <c r="I38" s="1901"/>
      <c r="J38" s="383">
        <f>SUMIF(114:114,I38,115:115)-SUMIF(114:114,C38,115:115)+100</f>
        <v>100</v>
      </c>
      <c r="K38" s="558"/>
      <c r="L38" s="2714"/>
      <c r="M38" s="2708"/>
      <c r="N38" s="2708"/>
      <c r="O38" s="2708"/>
      <c r="P38" s="3779" t="s">
        <v>1696</v>
      </c>
      <c r="Q38" s="1348" t="str">
        <f t="shared" si="11"/>
        <v>业态</v>
      </c>
      <c r="R38" s="701" t="s">
        <v>14</v>
      </c>
      <c r="S38" s="702">
        <f t="shared" si="12"/>
        <v>100</v>
      </c>
      <c r="T38" s="701" t="s">
        <v>14</v>
      </c>
      <c r="U38" s="702">
        <f t="shared" si="13"/>
        <v>100</v>
      </c>
      <c r="V38" s="701" t="s">
        <v>14</v>
      </c>
      <c r="W38" s="702">
        <f t="shared" si="14"/>
        <v>100</v>
      </c>
      <c r="X38" s="1351"/>
      <c r="Y38" s="3729" t="s">
        <v>1696</v>
      </c>
      <c r="Z38" s="1352" t="str">
        <f t="shared" si="15"/>
        <v>业态</v>
      </c>
      <c r="AA38" s="1349">
        <f t="shared" si="3"/>
        <v>1</v>
      </c>
      <c r="AB38" s="1349">
        <f t="shared" si="4"/>
        <v>1</v>
      </c>
      <c r="AC38" s="1349">
        <f t="shared" si="5"/>
        <v>1</v>
      </c>
    </row>
    <row r="39" spans="1:29" ht="15">
      <c r="A39" s="420"/>
      <c r="B39" s="372" t="s">
        <v>1789</v>
      </c>
      <c r="C39" s="1901"/>
      <c r="D39" s="383">
        <v>100</v>
      </c>
      <c r="E39" s="1901"/>
      <c r="F39" s="409">
        <f>SUMIF(116:116,E39,117:117)-SUMIF(116:116,C39,117:117)+100</f>
        <v>100</v>
      </c>
      <c r="G39" s="1901"/>
      <c r="H39" s="383">
        <f>SUMIF(116:116,G39,117:117)-SUMIF(116:116,C39,117:117)+100</f>
        <v>100</v>
      </c>
      <c r="I39" s="1901"/>
      <c r="J39" s="383">
        <f>SUMIF(116:116,I39,117:117)-SUMIF(116:116,C39,117:117)+100</f>
        <v>100</v>
      </c>
      <c r="K39" s="558"/>
      <c r="L39" s="2714"/>
      <c r="M39" s="2708"/>
      <c r="N39" s="2708"/>
      <c r="O39" s="2708"/>
      <c r="P39" s="3779"/>
      <c r="Q39" s="1348" t="str">
        <f t="shared" si="11"/>
        <v>层高</v>
      </c>
      <c r="R39" s="701" t="s">
        <v>14</v>
      </c>
      <c r="S39" s="702">
        <f t="shared" si="12"/>
        <v>100</v>
      </c>
      <c r="T39" s="701" t="s">
        <v>14</v>
      </c>
      <c r="U39" s="702">
        <f t="shared" si="13"/>
        <v>100</v>
      </c>
      <c r="V39" s="701" t="s">
        <v>14</v>
      </c>
      <c r="W39" s="702">
        <f t="shared" si="14"/>
        <v>100</v>
      </c>
      <c r="X39" s="1351"/>
      <c r="Y39" s="3729"/>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779"/>
      <c r="Q40" s="1348" t="str">
        <f t="shared" si="11"/>
        <v>单套建筑面积</v>
      </c>
      <c r="R40" s="701" t="s">
        <v>14</v>
      </c>
      <c r="S40" s="702">
        <f t="shared" si="12"/>
        <v>100</v>
      </c>
      <c r="T40" s="701" t="s">
        <v>14</v>
      </c>
      <c r="U40" s="702">
        <f t="shared" si="13"/>
        <v>100</v>
      </c>
      <c r="V40" s="701" t="s">
        <v>14</v>
      </c>
      <c r="W40" s="702">
        <f t="shared" si="14"/>
        <v>100</v>
      </c>
      <c r="X40" s="1351"/>
      <c r="Y40" s="3729"/>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779"/>
      <c r="Q41" s="703" t="str">
        <f t="shared" si="11"/>
        <v>进深比</v>
      </c>
      <c r="R41" s="704" t="s">
        <v>14</v>
      </c>
      <c r="S41" s="705">
        <f t="shared" si="12"/>
        <v>100</v>
      </c>
      <c r="T41" s="704" t="s">
        <v>14</v>
      </c>
      <c r="U41" s="705">
        <f t="shared" si="13"/>
        <v>100</v>
      </c>
      <c r="V41" s="704" t="s">
        <v>14</v>
      </c>
      <c r="W41" s="705">
        <f t="shared" si="14"/>
        <v>100</v>
      </c>
      <c r="X41" s="706"/>
      <c r="Y41" s="3729"/>
      <c r="Z41" s="707" t="str">
        <f t="shared" si="15"/>
        <v>进深比</v>
      </c>
      <c r="AA41" s="1349">
        <f t="shared" si="3"/>
        <v>1</v>
      </c>
      <c r="AB41" s="1349">
        <f t="shared" si="4"/>
        <v>1</v>
      </c>
      <c r="AC41" s="1349">
        <f t="shared" si="5"/>
        <v>1</v>
      </c>
    </row>
    <row r="42" spans="1:29" ht="15">
      <c r="A42" s="420"/>
      <c r="B42" s="372" t="s">
        <v>1792</v>
      </c>
      <c r="C42" s="1901"/>
      <c r="D42" s="383">
        <v>100</v>
      </c>
      <c r="E42" s="1901"/>
      <c r="F42" s="409">
        <f>SUMIF(122:122,E42,123:123)-SUMIF(122:122,C42,123:123)+100</f>
        <v>100</v>
      </c>
      <c r="G42" s="1901"/>
      <c r="H42" s="383">
        <f>SUMIF(122:122,G42,123:123)-SUMIF(122:122,C42,123:123)+100</f>
        <v>100</v>
      </c>
      <c r="I42" s="1901"/>
      <c r="J42" s="383">
        <f>SUMIF(122:122,I42,123:123)-SUMIF(122:122,C42,123:123)+100</f>
        <v>100</v>
      </c>
      <c r="K42" s="558"/>
      <c r="L42" s="2714"/>
      <c r="M42" s="2708"/>
      <c r="N42" s="2708"/>
      <c r="O42" s="2708"/>
      <c r="P42" s="3779"/>
      <c r="Q42" s="1348" t="str">
        <f t="shared" si="11"/>
        <v>内部装修</v>
      </c>
      <c r="R42" s="701" t="s">
        <v>14</v>
      </c>
      <c r="S42" s="702">
        <f t="shared" si="12"/>
        <v>100</v>
      </c>
      <c r="T42" s="701" t="s">
        <v>14</v>
      </c>
      <c r="U42" s="702">
        <f t="shared" si="13"/>
        <v>100</v>
      </c>
      <c r="V42" s="701" t="s">
        <v>14</v>
      </c>
      <c r="W42" s="702">
        <f t="shared" si="14"/>
        <v>100</v>
      </c>
      <c r="X42" s="1351"/>
      <c r="Y42" s="3729"/>
      <c r="Z42" s="1352" t="str">
        <f t="shared" si="15"/>
        <v>内部装修</v>
      </c>
      <c r="AA42" s="1349">
        <f t="shared" si="3"/>
        <v>1</v>
      </c>
      <c r="AB42" s="1349">
        <f t="shared" si="4"/>
        <v>1</v>
      </c>
      <c r="AC42" s="1349">
        <f t="shared" si="5"/>
        <v>1</v>
      </c>
    </row>
    <row r="43" spans="1:29" ht="15">
      <c r="A43" s="420"/>
      <c r="B43" s="372" t="s">
        <v>1707</v>
      </c>
      <c r="C43" s="1901"/>
      <c r="D43" s="383">
        <v>100</v>
      </c>
      <c r="E43" s="1901"/>
      <c r="F43" s="409">
        <f>SUMIF(124:124,E43,125:125)-SUMIF(124:124,C43,125:125)+100</f>
        <v>100</v>
      </c>
      <c r="G43" s="1901"/>
      <c r="H43" s="383">
        <f>SUMIF(124:124,G43,125:125)-SUMIF(124:124,C43,125:125)+100</f>
        <v>100</v>
      </c>
      <c r="I43" s="1901"/>
      <c r="J43" s="383">
        <f>SUMIF(124:124,I43,125:125)-SUMIF(124:124,C43,125:125)+100</f>
        <v>100</v>
      </c>
      <c r="K43" s="558"/>
      <c r="L43" s="2714"/>
      <c r="M43" s="2708"/>
      <c r="N43" s="2708"/>
      <c r="O43" s="2708"/>
      <c r="P43" s="3779"/>
      <c r="Q43" s="1348" t="str">
        <f t="shared" si="11"/>
        <v>内部装修维护情况</v>
      </c>
      <c r="R43" s="701" t="s">
        <v>14</v>
      </c>
      <c r="S43" s="702">
        <f t="shared" si="12"/>
        <v>100</v>
      </c>
      <c r="T43" s="701" t="s">
        <v>14</v>
      </c>
      <c r="U43" s="702">
        <f t="shared" si="13"/>
        <v>100</v>
      </c>
      <c r="V43" s="701" t="s">
        <v>14</v>
      </c>
      <c r="W43" s="702">
        <f t="shared" si="14"/>
        <v>100</v>
      </c>
      <c r="X43" s="1351"/>
      <c r="Y43" s="3729"/>
      <c r="Z43" s="1352" t="str">
        <f t="shared" si="15"/>
        <v>内部装修维护情况</v>
      </c>
      <c r="AA43" s="1349">
        <f t="shared" si="3"/>
        <v>1</v>
      </c>
      <c r="AB43" s="1349">
        <f t="shared" si="4"/>
        <v>1</v>
      </c>
      <c r="AC43" s="1349">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9"/>
      <c r="M44" s="2710"/>
      <c r="N44" s="2710"/>
      <c r="O44" s="2710"/>
      <c r="P44" s="3779"/>
      <c r="Q44" s="1339">
        <f t="shared" si="11"/>
        <v>111</v>
      </c>
      <c r="R44" s="697" t="s">
        <v>14</v>
      </c>
      <c r="S44" s="698">
        <f t="shared" si="12"/>
        <v>100</v>
      </c>
      <c r="T44" s="697" t="s">
        <v>14</v>
      </c>
      <c r="U44" s="698">
        <f t="shared" si="13"/>
        <v>100</v>
      </c>
      <c r="V44" s="697" t="s">
        <v>14</v>
      </c>
      <c r="W44" s="698">
        <f t="shared" si="14"/>
        <v>100</v>
      </c>
      <c r="X44" s="699"/>
      <c r="Y44" s="3729"/>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779"/>
      <c r="Q45" s="1348">
        <f t="shared" si="11"/>
        <v>111</v>
      </c>
      <c r="R45" s="701" t="s">
        <v>14</v>
      </c>
      <c r="S45" s="702">
        <f t="shared" si="12"/>
        <v>100</v>
      </c>
      <c r="T45" s="701" t="s">
        <v>14</v>
      </c>
      <c r="U45" s="702">
        <f t="shared" si="13"/>
        <v>100</v>
      </c>
      <c r="V45" s="701" t="s">
        <v>14</v>
      </c>
      <c r="W45" s="702">
        <f t="shared" si="14"/>
        <v>100</v>
      </c>
      <c r="X45" s="1351"/>
      <c r="Y45" s="3729"/>
      <c r="Z45" s="1352">
        <f t="shared" si="15"/>
        <v>111</v>
      </c>
      <c r="AA45" s="1349">
        <f t="shared" si="3"/>
        <v>1</v>
      </c>
      <c r="AB45" s="1349">
        <f t="shared" si="4"/>
        <v>1</v>
      </c>
      <c r="AC45" s="1349">
        <f t="shared" si="5"/>
        <v>1</v>
      </c>
    </row>
    <row r="46" spans="1:29" ht="15.75" thickBot="1">
      <c r="A46" s="426"/>
      <c r="B46" s="1890">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780"/>
      <c r="Q46" s="1348">
        <f t="shared" si="11"/>
        <v>111</v>
      </c>
      <c r="R46" s="701" t="s">
        <v>14</v>
      </c>
      <c r="S46" s="702">
        <f t="shared" si="12"/>
        <v>100</v>
      </c>
      <c r="T46" s="701" t="s">
        <v>14</v>
      </c>
      <c r="U46" s="702">
        <f t="shared" si="13"/>
        <v>100</v>
      </c>
      <c r="V46" s="701" t="s">
        <v>14</v>
      </c>
      <c r="W46" s="702">
        <f t="shared" si="14"/>
        <v>100</v>
      </c>
      <c r="X46" s="1351"/>
      <c r="Y46" s="3781"/>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16"/>
      <c r="M47" s="2717"/>
      <c r="N47" s="2708"/>
      <c r="O47" s="2717"/>
      <c r="P47" s="3709" t="str">
        <f>A47</f>
        <v>成交单价（元/平方米）</v>
      </c>
      <c r="Q47" s="3709"/>
      <c r="R47" s="3722">
        <f>E47</f>
        <v>0</v>
      </c>
      <c r="S47" s="3722"/>
      <c r="T47" s="3722">
        <f>G47</f>
        <v>0</v>
      </c>
      <c r="U47" s="3722"/>
      <c r="V47" s="3722">
        <f>I47</f>
        <v>0</v>
      </c>
      <c r="W47" s="3722"/>
      <c r="X47" s="686"/>
      <c r="Y47" s="708"/>
      <c r="Z47" s="686"/>
      <c r="AA47" s="686"/>
      <c r="AB47" s="686"/>
      <c r="AC47" s="686"/>
    </row>
    <row r="48" spans="1:29" ht="15.75" thickBot="1">
      <c r="A48" s="434" t="s">
        <v>1793</v>
      </c>
      <c r="B48" s="435"/>
      <c r="C48" s="1156" t="e">
        <f>R49</f>
        <v>#DIV/0!</v>
      </c>
      <c r="D48" s="2310" t="s">
        <v>2138</v>
      </c>
      <c r="E48" s="1157" t="e">
        <f>R48</f>
        <v>#DIV/0!</v>
      </c>
      <c r="F48" s="2311"/>
      <c r="G48" s="1156" t="e">
        <f>T48</f>
        <v>#DIV/0!</v>
      </c>
      <c r="H48" s="2311"/>
      <c r="I48" s="1157" t="e">
        <f>V48</f>
        <v>#DIV/0!</v>
      </c>
      <c r="J48" s="2311"/>
      <c r="K48" s="2313">
        <f>F48+H48+J48</f>
        <v>0</v>
      </c>
      <c r="L48" s="2716"/>
      <c r="M48" s="2717"/>
      <c r="N48" s="2708"/>
      <c r="O48" s="2717"/>
      <c r="P48" s="3709" t="str">
        <f>A48</f>
        <v>比较价值（元/平方米）</v>
      </c>
      <c r="Q48" s="3709"/>
      <c r="R48" s="3777" t="e">
        <f>IF(F1="售价",ROUND(PRODUCT(R47,AA7:AA46),0),ROUND(PRODUCT(R47,AA7:AA46),1))</f>
        <v>#DIV/0!</v>
      </c>
      <c r="S48" s="3777"/>
      <c r="T48" s="3777" t="e">
        <f>IF(F1="售价",ROUND(PRODUCT(T47,AB7:AB46),0),ROUND(PRODUCT(T47,AB7:AB46),1))</f>
        <v>#DIV/0!</v>
      </c>
      <c r="U48" s="3777"/>
      <c r="V48" s="3777" t="e">
        <f>IF(F1="售价",ROUND(PRODUCT(V47,AC7:AC46),0),ROUND(PRODUCT(V47,AC7:AC46),1))</f>
        <v>#DIV/0!</v>
      </c>
      <c r="W48" s="3777"/>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6"/>
      <c r="M49" s="2717"/>
      <c r="N49" s="2708"/>
      <c r="O49" s="2717"/>
      <c r="P49" s="3731" t="str">
        <f>A49</f>
        <v>估价对象XX用房的比较价值（楼面单价，元/平方米）</v>
      </c>
      <c r="Q49" s="3732"/>
      <c r="R49" s="3776" t="e">
        <f>IF(F1="售价",ROUND(IF(D48="简单平均",AVERAGE(R48:V48),R48*F48+T48*H48+V48*J48),0),ROUND(IF(D48="简单平均",AVERAGE(R48:V48),R48*F48+T48*H48+V48*J48),1))</f>
        <v>#DIV/0!</v>
      </c>
      <c r="S49" s="3776"/>
      <c r="T49" s="3776"/>
      <c r="U49" s="3776"/>
      <c r="V49" s="3776"/>
      <c r="W49" s="3776"/>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2023-2</v>
      </c>
      <c r="D58" s="1181">
        <f>EDATE(C58,-1)</f>
        <v>44927</v>
      </c>
      <c r="E58" s="1181">
        <f t="shared" ref="E58:N58" si="16">EDATE(D58,-1)</f>
        <v>44896</v>
      </c>
      <c r="F58" s="1181">
        <f t="shared" si="16"/>
        <v>44866</v>
      </c>
      <c r="G58" s="1181">
        <f t="shared" si="16"/>
        <v>44835</v>
      </c>
      <c r="H58" s="1181">
        <f t="shared" si="16"/>
        <v>44805</v>
      </c>
      <c r="I58" s="1181">
        <f t="shared" si="16"/>
        <v>44774</v>
      </c>
      <c r="J58" s="1181">
        <f t="shared" si="16"/>
        <v>44743</v>
      </c>
      <c r="K58" s="1181">
        <f t="shared" si="16"/>
        <v>44713</v>
      </c>
      <c r="L58" s="1181">
        <f t="shared" si="16"/>
        <v>44682</v>
      </c>
      <c r="M58" s="1181">
        <f t="shared" si="16"/>
        <v>44652</v>
      </c>
      <c r="N58" s="1181">
        <f t="shared" si="16"/>
        <v>44621</v>
      </c>
      <c r="O58" s="1181">
        <f>EDATE(N58,-1)</f>
        <v>44593</v>
      </c>
      <c r="P58" s="2732"/>
      <c r="Q58" s="2733"/>
      <c r="R58" s="2733"/>
      <c r="S58" s="2733"/>
      <c r="T58" s="2733"/>
      <c r="U58" s="2733"/>
      <c r="V58" s="2733"/>
      <c r="W58" s="2733"/>
      <c r="X58" s="2733"/>
      <c r="Y58" s="2733"/>
      <c r="Z58" s="2733"/>
      <c r="AA58" s="2733"/>
      <c r="AB58" s="2733"/>
      <c r="AC58" s="2733"/>
    </row>
    <row r="59" spans="1:29" s="108" customFormat="1" ht="15">
      <c r="A59" s="455"/>
      <c r="B59" s="456"/>
      <c r="C59" s="1179">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20"/>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1"/>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1810</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7"/>
      <c r="F3" s="905"/>
      <c r="G3" s="904"/>
      <c r="H3" s="904"/>
      <c r="I3" s="904"/>
      <c r="J3" s="904"/>
      <c r="K3" s="906"/>
      <c r="L3" s="2726"/>
      <c r="M3" s="2727"/>
      <c r="N3" s="2727"/>
      <c r="O3" s="2727"/>
      <c r="P3" s="695"/>
      <c r="Q3" s="695"/>
      <c r="R3" s="695"/>
      <c r="S3" s="695"/>
      <c r="T3" s="695"/>
      <c r="U3" s="695"/>
      <c r="V3" s="695"/>
      <c r="W3" s="695"/>
      <c r="X3" s="695"/>
      <c r="Y3" s="695"/>
      <c r="Z3" s="695"/>
      <c r="AA3" s="695"/>
      <c r="AB3" s="695"/>
      <c r="AC3" s="696"/>
    </row>
    <row r="4" spans="1:29" ht="15">
      <c r="A4" s="352" t="s">
        <v>1769</v>
      </c>
      <c r="B4" s="353"/>
      <c r="C4" s="3710" t="s">
        <v>1770</v>
      </c>
      <c r="D4" s="3711"/>
      <c r="E4" s="3712" t="s">
        <v>1771</v>
      </c>
      <c r="F4" s="3713"/>
      <c r="G4" s="3710" t="s">
        <v>1772</v>
      </c>
      <c r="H4" s="3711"/>
      <c r="I4" s="3710" t="s">
        <v>1773</v>
      </c>
      <c r="J4" s="3711"/>
      <c r="K4" s="556" t="s">
        <v>1774</v>
      </c>
      <c r="L4" s="2707"/>
      <c r="M4" s="2708"/>
      <c r="N4" s="2708"/>
      <c r="O4" s="2708"/>
      <c r="P4" s="3804" t="s">
        <v>1775</v>
      </c>
      <c r="Q4" s="3805"/>
      <c r="R4" s="3799" t="s">
        <v>1771</v>
      </c>
      <c r="S4" s="3800"/>
      <c r="T4" s="3799" t="s">
        <v>1772</v>
      </c>
      <c r="U4" s="3800"/>
      <c r="V4" s="3808" t="s">
        <v>1773</v>
      </c>
      <c r="W4" s="3808"/>
      <c r="X4" s="1951"/>
      <c r="Y4" s="3799" t="s">
        <v>1775</v>
      </c>
      <c r="Z4" s="3800"/>
      <c r="AA4" s="3798" t="s">
        <v>1771</v>
      </c>
      <c r="AB4" s="3798" t="s">
        <v>1772</v>
      </c>
      <c r="AC4" s="3801" t="s">
        <v>1773</v>
      </c>
    </row>
    <row r="5" spans="1:29" ht="15">
      <c r="A5" s="355"/>
      <c r="B5" s="356"/>
      <c r="C5" s="3794" t="s">
        <v>1673</v>
      </c>
      <c r="D5" s="3795"/>
      <c r="E5" s="3792" t="s">
        <v>1674</v>
      </c>
      <c r="F5" s="3793"/>
      <c r="G5" s="3794" t="s">
        <v>1675</v>
      </c>
      <c r="H5" s="3795"/>
      <c r="I5" s="3794" t="s">
        <v>1676</v>
      </c>
      <c r="J5" s="3795"/>
      <c r="K5" s="556"/>
      <c r="L5" s="2707"/>
      <c r="M5" s="2708"/>
      <c r="N5" s="2708"/>
      <c r="O5" s="2708"/>
      <c r="P5" s="3806"/>
      <c r="Q5" s="3717"/>
      <c r="R5" s="3699"/>
      <c r="S5" s="3700"/>
      <c r="T5" s="3699"/>
      <c r="U5" s="3700"/>
      <c r="V5" s="3722"/>
      <c r="W5" s="3722"/>
      <c r="X5" s="1351"/>
      <c r="Y5" s="3699"/>
      <c r="Z5" s="3700"/>
      <c r="AA5" s="3693"/>
      <c r="AB5" s="3693"/>
      <c r="AC5" s="3802"/>
    </row>
    <row r="6" spans="1:29" ht="15.75" thickBot="1">
      <c r="A6" s="357"/>
      <c r="B6" s="358"/>
      <c r="C6" s="3705" t="s">
        <v>1677</v>
      </c>
      <c r="D6" s="3706"/>
      <c r="E6" s="3796" t="s">
        <v>1677</v>
      </c>
      <c r="F6" s="3797"/>
      <c r="G6" s="3705" t="s">
        <v>1677</v>
      </c>
      <c r="H6" s="3706"/>
      <c r="I6" s="3705" t="s">
        <v>1677</v>
      </c>
      <c r="J6" s="3706"/>
      <c r="K6" s="556" t="s">
        <v>1678</v>
      </c>
      <c r="L6" s="2707"/>
      <c r="M6" s="2708"/>
      <c r="N6" s="2708"/>
      <c r="O6" s="2708"/>
      <c r="P6" s="3807"/>
      <c r="Q6" s="3719"/>
      <c r="R6" s="3699"/>
      <c r="S6" s="3700"/>
      <c r="T6" s="3720"/>
      <c r="U6" s="3721"/>
      <c r="V6" s="3722"/>
      <c r="W6" s="3722"/>
      <c r="X6" s="1351"/>
      <c r="Y6" s="3720"/>
      <c r="Z6" s="3721"/>
      <c r="AA6" s="3694"/>
      <c r="AB6" s="3694"/>
      <c r="AC6" s="3803"/>
    </row>
    <row r="7" spans="1:29" s="108" customFormat="1" ht="15.75" thickBot="1">
      <c r="A7" s="359" t="s">
        <v>1679</v>
      </c>
      <c r="B7" s="360"/>
      <c r="C7" s="361">
        <f>'数据-取费表'!B2</f>
        <v>44970</v>
      </c>
      <c r="D7" s="362">
        <v>100</v>
      </c>
      <c r="E7" s="363"/>
      <c r="F7" s="364">
        <f>SUMIF(59:59,YEAR(E7)&amp;"-"&amp;MONTH(E7),60:60)</f>
        <v>0</v>
      </c>
      <c r="G7" s="363"/>
      <c r="H7" s="362">
        <f>SUMIF(59:59,YEAR(G7)&amp;"-"&amp;MONTH(G7),60:60)</f>
        <v>0</v>
      </c>
      <c r="I7" s="363"/>
      <c r="J7" s="362">
        <f>SUMIF(59:59,YEAR(I7)&amp;"-"&amp;MONTH(I7),60:60)</f>
        <v>0</v>
      </c>
      <c r="K7" s="557"/>
      <c r="L7" s="2709"/>
      <c r="M7" s="2710"/>
      <c r="N7" s="2710"/>
      <c r="O7" s="2710"/>
      <c r="P7" s="3809" t="s">
        <v>1680</v>
      </c>
      <c r="Q7" s="3725"/>
      <c r="R7" s="697" t="s">
        <v>14</v>
      </c>
      <c r="S7" s="698">
        <f t="shared" ref="S7:S15" si="0">F7</f>
        <v>0</v>
      </c>
      <c r="T7" s="697" t="s">
        <v>14</v>
      </c>
      <c r="U7" s="698">
        <f t="shared" ref="U7:U15" si="1">H7</f>
        <v>0</v>
      </c>
      <c r="V7" s="697" t="s">
        <v>14</v>
      </c>
      <c r="W7" s="698">
        <f t="shared" ref="W7:W15" si="2">J7</f>
        <v>0</v>
      </c>
      <c r="X7" s="699"/>
      <c r="Y7" s="3695" t="s">
        <v>1680</v>
      </c>
      <c r="Z7" s="3696"/>
      <c r="AA7" s="700" t="e">
        <f>D7/F7</f>
        <v>#DIV/0!</v>
      </c>
      <c r="AB7" s="700" t="e">
        <f>D7/H7</f>
        <v>#DIV/0!</v>
      </c>
      <c r="AC7" s="1952"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9"/>
      <c r="M8" s="2710"/>
      <c r="N8" s="2710"/>
      <c r="O8" s="2710"/>
      <c r="P8" s="3809" t="s">
        <v>1683</v>
      </c>
      <c r="Q8" s="3696"/>
      <c r="R8" s="697" t="s">
        <v>14</v>
      </c>
      <c r="S8" s="698">
        <f t="shared" si="0"/>
        <v>100</v>
      </c>
      <c r="T8" s="697" t="s">
        <v>14</v>
      </c>
      <c r="U8" s="698">
        <f t="shared" si="1"/>
        <v>100</v>
      </c>
      <c r="V8" s="697" t="s">
        <v>14</v>
      </c>
      <c r="W8" s="698">
        <f t="shared" si="2"/>
        <v>100</v>
      </c>
      <c r="X8" s="699"/>
      <c r="Y8" s="3695" t="s">
        <v>1683</v>
      </c>
      <c r="Z8" s="3696"/>
      <c r="AA8" s="700">
        <f t="shared" ref="AA8:AA47" si="3">D8/F8</f>
        <v>1</v>
      </c>
      <c r="AB8" s="700">
        <f t="shared" ref="AB8:AB47" si="4">D8/H8</f>
        <v>1</v>
      </c>
      <c r="AC8" s="1952">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9"/>
      <c r="M9" s="2710"/>
      <c r="N9" s="2710"/>
      <c r="O9" s="2710"/>
      <c r="P9" s="3735" t="s">
        <v>1686</v>
      </c>
      <c r="Q9" s="1339" t="str">
        <f t="shared" ref="Q9:Q15" si="6">B9</f>
        <v>用途</v>
      </c>
      <c r="R9" s="697" t="s">
        <v>14</v>
      </c>
      <c r="S9" s="698">
        <f t="shared" si="0"/>
        <v>100</v>
      </c>
      <c r="T9" s="697" t="s">
        <v>14</v>
      </c>
      <c r="U9" s="698">
        <f t="shared" si="1"/>
        <v>100</v>
      </c>
      <c r="V9" s="697" t="s">
        <v>14</v>
      </c>
      <c r="W9" s="698">
        <f t="shared" si="2"/>
        <v>100</v>
      </c>
      <c r="X9" s="699"/>
      <c r="Y9" s="3660" t="s">
        <v>1687</v>
      </c>
      <c r="Z9" s="52" t="str">
        <f t="shared" ref="Z9:Z15" si="7">Q9</f>
        <v>用途</v>
      </c>
      <c r="AA9" s="700">
        <f t="shared" si="3"/>
        <v>1</v>
      </c>
      <c r="AB9" s="700">
        <f t="shared" si="4"/>
        <v>1</v>
      </c>
      <c r="AC9" s="1952">
        <f t="shared" si="5"/>
        <v>1</v>
      </c>
    </row>
    <row r="10" spans="1:29" s="375" customFormat="1" ht="27">
      <c r="A10" s="371"/>
      <c r="B10" s="372" t="s">
        <v>1688</v>
      </c>
      <c r="C10" s="3426"/>
      <c r="D10" s="125">
        <v>100</v>
      </c>
      <c r="E10" s="3426"/>
      <c r="F10" s="125">
        <f>SUMIF(66:66,E10,67:67)-SUMIF(66:66,C10,67:67)+100</f>
        <v>100</v>
      </c>
      <c r="G10" s="3427"/>
      <c r="H10" s="125">
        <f>SUMIF(66:66,G10,67:67)-SUMIF(66:66,C10,67:67)+100</f>
        <v>100</v>
      </c>
      <c r="I10" s="3426"/>
      <c r="J10" s="125">
        <f>SUMIF(66:66,I10,67:67)-SUMIF(66:66,C10,67:67)+100</f>
        <v>100</v>
      </c>
      <c r="K10" s="557"/>
      <c r="L10" s="2711"/>
      <c r="M10" s="2712"/>
      <c r="N10" s="2712"/>
      <c r="O10" s="2712"/>
      <c r="P10" s="3735"/>
      <c r="Q10" s="1339" t="str">
        <f t="shared" si="6"/>
        <v>土地使用年限（年）</v>
      </c>
      <c r="R10" s="697" t="s">
        <v>14</v>
      </c>
      <c r="S10" s="698">
        <f t="shared" si="0"/>
        <v>100</v>
      </c>
      <c r="T10" s="697" t="s">
        <v>14</v>
      </c>
      <c r="U10" s="698">
        <f t="shared" si="1"/>
        <v>100</v>
      </c>
      <c r="V10" s="697" t="s">
        <v>14</v>
      </c>
      <c r="W10" s="698">
        <f t="shared" si="2"/>
        <v>100</v>
      </c>
      <c r="X10" s="699"/>
      <c r="Y10" s="3660"/>
      <c r="Z10" s="52" t="str">
        <f t="shared" si="7"/>
        <v>土地使用年限（年）</v>
      </c>
      <c r="AA10" s="700">
        <f t="shared" si="3"/>
        <v>1</v>
      </c>
      <c r="AB10" s="700">
        <f t="shared" si="4"/>
        <v>1</v>
      </c>
      <c r="AC10" s="1952">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3"/>
      <c r="M11" s="2708"/>
      <c r="N11" s="2708"/>
      <c r="O11" s="2708"/>
      <c r="P11" s="3735"/>
      <c r="Q11" s="1339" t="str">
        <f t="shared" si="6"/>
        <v>容积率</v>
      </c>
      <c r="R11" s="697" t="s">
        <v>14</v>
      </c>
      <c r="S11" s="698">
        <f t="shared" si="0"/>
        <v>100</v>
      </c>
      <c r="T11" s="697" t="s">
        <v>14</v>
      </c>
      <c r="U11" s="698">
        <f t="shared" si="1"/>
        <v>100</v>
      </c>
      <c r="V11" s="697" t="s">
        <v>14</v>
      </c>
      <c r="W11" s="698">
        <f t="shared" si="2"/>
        <v>100</v>
      </c>
      <c r="X11" s="699"/>
      <c r="Y11" s="3660"/>
      <c r="Z11" s="52" t="str">
        <f t="shared" si="7"/>
        <v>容积率</v>
      </c>
      <c r="AA11" s="700">
        <f t="shared" si="3"/>
        <v>1</v>
      </c>
      <c r="AB11" s="700">
        <f t="shared" si="4"/>
        <v>1</v>
      </c>
      <c r="AC11" s="1952">
        <f t="shared" si="5"/>
        <v>1</v>
      </c>
    </row>
    <row r="12" spans="1:29" s="108" customFormat="1" ht="15">
      <c r="A12" s="379"/>
      <c r="B12" s="1888">
        <v>111</v>
      </c>
      <c r="C12" s="380"/>
      <c r="D12" s="381">
        <v>100</v>
      </c>
      <c r="E12" s="380"/>
      <c r="F12" s="125">
        <f>SUMIF(71:71,E12,72:72)-SUMIF(71:71,C12,72:72)+100</f>
        <v>100</v>
      </c>
      <c r="G12" s="1953"/>
      <c r="H12" s="125">
        <f>SUMIF(71:71,G12,72:72)-SUMIF(71:71,C12,72:72)+100</f>
        <v>100</v>
      </c>
      <c r="I12" s="380"/>
      <c r="J12" s="125">
        <f>SUMIF(71:71,I12,72:72)-SUMIF(71:71,C12,72:72)+100</f>
        <v>100</v>
      </c>
      <c r="K12" s="559"/>
      <c r="L12" s="2709"/>
      <c r="M12" s="2710"/>
      <c r="N12" s="2710"/>
      <c r="O12" s="2710"/>
      <c r="P12" s="3735"/>
      <c r="Q12" s="1339">
        <f t="shared" si="6"/>
        <v>111</v>
      </c>
      <c r="R12" s="697" t="s">
        <v>14</v>
      </c>
      <c r="S12" s="698">
        <f t="shared" si="0"/>
        <v>100</v>
      </c>
      <c r="T12" s="697" t="s">
        <v>14</v>
      </c>
      <c r="U12" s="698">
        <f t="shared" si="1"/>
        <v>100</v>
      </c>
      <c r="V12" s="697" t="s">
        <v>14</v>
      </c>
      <c r="W12" s="698">
        <f t="shared" si="2"/>
        <v>100</v>
      </c>
      <c r="X12" s="699"/>
      <c r="Y12" s="3660"/>
      <c r="Z12" s="52">
        <f t="shared" si="7"/>
        <v>111</v>
      </c>
      <c r="AA12" s="700">
        <f>D12/F12</f>
        <v>1</v>
      </c>
      <c r="AB12" s="700">
        <f>D12/H12</f>
        <v>1</v>
      </c>
      <c r="AC12" s="1952">
        <f>D12/J12</f>
        <v>1</v>
      </c>
    </row>
    <row r="13" spans="1:29" ht="15">
      <c r="A13" s="376"/>
      <c r="B13" s="1888">
        <v>111</v>
      </c>
      <c r="C13" s="382"/>
      <c r="D13" s="383">
        <v>100</v>
      </c>
      <c r="E13" s="380"/>
      <c r="F13" s="125">
        <f>SUMIF(73:73,E13,74:74)-SUMIF(73:73,C13,74:74)+100</f>
        <v>100</v>
      </c>
      <c r="G13" s="1953"/>
      <c r="H13" s="383">
        <f>SUMIF(73:73,G13,74:74)-SUMIF(73:73,C13,74:74)+100</f>
        <v>100</v>
      </c>
      <c r="I13" s="380"/>
      <c r="J13" s="383">
        <f>SUMIF(73:73,I13,74:74)-SUMIF(73:73,C13,74:74)+100</f>
        <v>100</v>
      </c>
      <c r="K13" s="559"/>
      <c r="L13" s="2714"/>
      <c r="M13" s="2708"/>
      <c r="N13" s="2708"/>
      <c r="O13" s="2708"/>
      <c r="P13" s="3735"/>
      <c r="Q13" s="1339">
        <f t="shared" si="6"/>
        <v>111</v>
      </c>
      <c r="R13" s="697" t="s">
        <v>14</v>
      </c>
      <c r="S13" s="698">
        <f t="shared" si="0"/>
        <v>100</v>
      </c>
      <c r="T13" s="697" t="s">
        <v>14</v>
      </c>
      <c r="U13" s="698">
        <f t="shared" si="1"/>
        <v>100</v>
      </c>
      <c r="V13" s="697" t="s">
        <v>14</v>
      </c>
      <c r="W13" s="698">
        <f t="shared" si="2"/>
        <v>100</v>
      </c>
      <c r="X13" s="699"/>
      <c r="Y13" s="3660"/>
      <c r="Z13" s="52">
        <f t="shared" si="7"/>
        <v>111</v>
      </c>
      <c r="AA13" s="700">
        <f t="shared" si="3"/>
        <v>1</v>
      </c>
      <c r="AB13" s="700">
        <f t="shared" si="4"/>
        <v>1</v>
      </c>
      <c r="AC13" s="1952">
        <f t="shared" si="5"/>
        <v>1</v>
      </c>
    </row>
    <row r="14" spans="1:29" ht="15.75" thickBot="1">
      <c r="A14" s="384"/>
      <c r="B14" s="1890">
        <v>111</v>
      </c>
      <c r="C14" s="385"/>
      <c r="D14" s="386">
        <v>100</v>
      </c>
      <c r="E14" s="573"/>
      <c r="F14" s="386">
        <f>SUMIF(75:75,E14,76:76)-SUMIF(75:75,C14,76:76)+100</f>
        <v>100</v>
      </c>
      <c r="G14" s="1953"/>
      <c r="H14" s="386">
        <f>SUMIF(75:75,G14,76:76)-SUMIF(75:75,C14,76:76)+100</f>
        <v>100</v>
      </c>
      <c r="I14" s="380"/>
      <c r="J14" s="386">
        <f>SUMIF(75:75,I14,76:76)-SUMIF(75:75,C14,76:76)+100</f>
        <v>100</v>
      </c>
      <c r="K14" s="559"/>
      <c r="L14" s="2714"/>
      <c r="M14" s="2708"/>
      <c r="N14" s="2708"/>
      <c r="O14" s="2708"/>
      <c r="P14" s="3735"/>
      <c r="Q14" s="1339">
        <f t="shared" si="6"/>
        <v>111</v>
      </c>
      <c r="R14" s="697" t="s">
        <v>14</v>
      </c>
      <c r="S14" s="698">
        <f t="shared" si="0"/>
        <v>100</v>
      </c>
      <c r="T14" s="697" t="s">
        <v>14</v>
      </c>
      <c r="U14" s="698">
        <f t="shared" si="1"/>
        <v>100</v>
      </c>
      <c r="V14" s="697" t="s">
        <v>14</v>
      </c>
      <c r="W14" s="698">
        <f t="shared" si="2"/>
        <v>100</v>
      </c>
      <c r="X14" s="699"/>
      <c r="Y14" s="3660"/>
      <c r="Z14" s="52">
        <f t="shared" si="7"/>
        <v>111</v>
      </c>
      <c r="AA14" s="700">
        <f t="shared" si="3"/>
        <v>1</v>
      </c>
      <c r="AB14" s="700">
        <f t="shared" si="4"/>
        <v>1</v>
      </c>
      <c r="AC14" s="1952">
        <f t="shared" si="5"/>
        <v>1</v>
      </c>
    </row>
    <row r="15" spans="1:29" ht="71.25">
      <c r="A15" s="388" t="s">
        <v>1690</v>
      </c>
      <c r="B15" s="574" t="s">
        <v>1811</v>
      </c>
      <c r="C15" s="1954"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4"/>
      <c r="M15" s="2708"/>
      <c r="N15" s="2708"/>
      <c r="O15" s="2708"/>
      <c r="P15" s="3782" t="s">
        <v>1691</v>
      </c>
      <c r="Q15" s="1348" t="str">
        <f t="shared" si="6"/>
        <v>办公集聚程度</v>
      </c>
      <c r="R15" s="701" t="s">
        <v>14</v>
      </c>
      <c r="S15" s="702">
        <f t="shared" si="0"/>
        <v>100</v>
      </c>
      <c r="T15" s="701" t="s">
        <v>14</v>
      </c>
      <c r="U15" s="702">
        <f t="shared" si="1"/>
        <v>100</v>
      </c>
      <c r="V15" s="701" t="s">
        <v>14</v>
      </c>
      <c r="W15" s="702">
        <f t="shared" si="2"/>
        <v>100</v>
      </c>
      <c r="X15" s="1351"/>
      <c r="Y15" s="3726" t="s">
        <v>1691</v>
      </c>
      <c r="Z15" s="1352" t="str">
        <f t="shared" si="7"/>
        <v>办公集聚程度</v>
      </c>
      <c r="AA15" s="1349">
        <f t="shared" si="3"/>
        <v>1</v>
      </c>
      <c r="AB15" s="1349">
        <f t="shared" si="4"/>
        <v>1</v>
      </c>
      <c r="AC15" s="1955">
        <f t="shared" si="5"/>
        <v>1</v>
      </c>
    </row>
    <row r="16" spans="1:29" ht="15">
      <c r="A16" s="376"/>
      <c r="B16" s="575"/>
      <c r="C16" s="1899"/>
      <c r="D16" s="396"/>
      <c r="E16" s="395"/>
      <c r="F16" s="396"/>
      <c r="G16" s="1899"/>
      <c r="H16" s="398"/>
      <c r="I16" s="395"/>
      <c r="J16" s="396"/>
      <c r="K16" s="561"/>
      <c r="L16" s="2714"/>
      <c r="M16" s="2708"/>
      <c r="N16" s="2708"/>
      <c r="O16" s="2708"/>
      <c r="P16" s="3783"/>
      <c r="Q16" s="1348"/>
      <c r="R16" s="701"/>
      <c r="S16" s="702"/>
      <c r="T16" s="701"/>
      <c r="U16" s="702"/>
      <c r="V16" s="701"/>
      <c r="W16" s="702"/>
      <c r="X16" s="1351"/>
      <c r="Y16" s="3727"/>
      <c r="Z16" s="1352"/>
      <c r="AA16" s="1349">
        <v>1</v>
      </c>
      <c r="AB16" s="1349">
        <v>1</v>
      </c>
      <c r="AC16" s="1955">
        <v>1</v>
      </c>
    </row>
    <row r="17" spans="1:29" ht="142.5">
      <c r="A17" s="376"/>
      <c r="B17" s="576" t="s">
        <v>1259</v>
      </c>
      <c r="C17" s="1956"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4"/>
      <c r="M17" s="2708"/>
      <c r="N17" s="2708"/>
      <c r="O17" s="2708"/>
      <c r="P17" s="3783"/>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955">
        <f t="shared" si="5"/>
        <v>1</v>
      </c>
    </row>
    <row r="18" spans="1:29" ht="15">
      <c r="A18" s="376"/>
      <c r="B18" s="577"/>
      <c r="C18" s="1957"/>
      <c r="D18" s="398"/>
      <c r="E18" s="1897"/>
      <c r="F18" s="398"/>
      <c r="G18" s="1898"/>
      <c r="H18" s="396"/>
      <c r="I18" s="1898"/>
      <c r="J18" s="396"/>
      <c r="K18" s="561"/>
      <c r="L18" s="2714"/>
      <c r="M18" s="2708"/>
      <c r="N18" s="2708"/>
      <c r="O18" s="2708"/>
      <c r="P18" s="3783"/>
      <c r="Q18" s="1348"/>
      <c r="R18" s="701"/>
      <c r="S18" s="702"/>
      <c r="T18" s="701"/>
      <c r="U18" s="702"/>
      <c r="V18" s="701"/>
      <c r="W18" s="702"/>
      <c r="X18" s="1351"/>
      <c r="Y18" s="3727"/>
      <c r="Z18" s="1352"/>
      <c r="AA18" s="1349">
        <v>1</v>
      </c>
      <c r="AB18" s="1349">
        <v>1</v>
      </c>
      <c r="AC18" s="1955">
        <v>1</v>
      </c>
    </row>
    <row r="19" spans="1:29" ht="128.25">
      <c r="A19" s="376"/>
      <c r="B19" s="576" t="s">
        <v>1812</v>
      </c>
      <c r="C19" s="1956"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4"/>
      <c r="M19" s="2708"/>
      <c r="N19" s="2708"/>
      <c r="O19" s="2708"/>
      <c r="P19" s="3783"/>
      <c r="Q19" s="1348" t="str">
        <f>B19</f>
        <v>公共配套设施</v>
      </c>
      <c r="R19" s="701" t="s">
        <v>14</v>
      </c>
      <c r="S19" s="702">
        <f>F19</f>
        <v>100</v>
      </c>
      <c r="T19" s="701" t="s">
        <v>14</v>
      </c>
      <c r="U19" s="702">
        <f>H19</f>
        <v>100</v>
      </c>
      <c r="V19" s="701" t="s">
        <v>14</v>
      </c>
      <c r="W19" s="702">
        <f>J19</f>
        <v>100</v>
      </c>
      <c r="X19" s="1351"/>
      <c r="Y19" s="3727"/>
      <c r="Z19" s="1352" t="str">
        <f>Q19</f>
        <v>公共配套设施</v>
      </c>
      <c r="AA19" s="1349">
        <f t="shared" si="3"/>
        <v>1</v>
      </c>
      <c r="AB19" s="1349">
        <f t="shared" si="4"/>
        <v>1</v>
      </c>
      <c r="AC19" s="1955">
        <f t="shared" si="5"/>
        <v>1</v>
      </c>
    </row>
    <row r="20" spans="1:29" ht="15">
      <c r="A20" s="376"/>
      <c r="B20" s="577"/>
      <c r="C20" s="1899"/>
      <c r="D20" s="396"/>
      <c r="E20" s="1892"/>
      <c r="F20" s="396"/>
      <c r="G20" s="1893"/>
      <c r="H20" s="396"/>
      <c r="I20" s="1893"/>
      <c r="J20" s="396"/>
      <c r="K20" s="561"/>
      <c r="L20" s="2714"/>
      <c r="M20" s="2708"/>
      <c r="N20" s="2708"/>
      <c r="O20" s="2708"/>
      <c r="P20" s="3783"/>
      <c r="Q20" s="1348"/>
      <c r="R20" s="701"/>
      <c r="S20" s="702"/>
      <c r="T20" s="701"/>
      <c r="U20" s="702"/>
      <c r="V20" s="701"/>
      <c r="W20" s="702"/>
      <c r="X20" s="1351"/>
      <c r="Y20" s="3727"/>
      <c r="Z20" s="1352"/>
      <c r="AA20" s="1349">
        <v>1</v>
      </c>
      <c r="AB20" s="1349">
        <v>1</v>
      </c>
      <c r="AC20" s="1955">
        <v>1</v>
      </c>
    </row>
    <row r="21" spans="1:29" ht="42.75">
      <c r="A21" s="376"/>
      <c r="B21" s="578" t="s">
        <v>1813</v>
      </c>
      <c r="C21" s="1956" t="str">
        <f>估价对象房地状况!C8</f>
        <v>估价对象所在区域基础设施水平-六通</v>
      </c>
      <c r="D21" s="398">
        <v>100</v>
      </c>
      <c r="E21" s="407"/>
      <c r="F21" s="403">
        <f>SUMIF(83:83,E22,84:84)-SUMIF(83:83,C22,84:84)+100</f>
        <v>100</v>
      </c>
      <c r="G21" s="405"/>
      <c r="H21" s="398">
        <f>SUMIF(83:83,G22,84:84)-SUMIF(83:83,C22,84:84)+100</f>
        <v>100</v>
      </c>
      <c r="I21" s="405"/>
      <c r="J21" s="398">
        <f>SUMIF(83:83,I22,84:84)-SUMIF(83:83,C22,84:84)+100</f>
        <v>100</v>
      </c>
      <c r="K21" s="560"/>
      <c r="L21" s="2714"/>
      <c r="M21" s="2708"/>
      <c r="N21" s="2708"/>
      <c r="O21" s="2708"/>
      <c r="P21" s="3783"/>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955">
        <f t="shared" ref="AC21" si="10">D21/J21</f>
        <v>1</v>
      </c>
    </row>
    <row r="22" spans="1:29" ht="15">
      <c r="A22" s="376"/>
      <c r="B22" s="578"/>
      <c r="C22" s="1957"/>
      <c r="D22" s="396"/>
      <c r="E22" s="395"/>
      <c r="F22" s="396"/>
      <c r="G22" s="1899"/>
      <c r="H22" s="396"/>
      <c r="I22" s="1899"/>
      <c r="J22" s="396"/>
      <c r="K22" s="1126"/>
      <c r="L22" s="2714"/>
      <c r="M22" s="2708"/>
      <c r="N22" s="2708"/>
      <c r="O22" s="2708"/>
      <c r="P22" s="3783"/>
      <c r="Q22" s="1348"/>
      <c r="R22" s="701"/>
      <c r="S22" s="702"/>
      <c r="T22" s="701"/>
      <c r="U22" s="702"/>
      <c r="V22" s="701"/>
      <c r="W22" s="702"/>
      <c r="X22" s="1351"/>
      <c r="Y22" s="3727"/>
      <c r="Z22" s="1352"/>
      <c r="AA22" s="1349">
        <v>1</v>
      </c>
      <c r="AB22" s="1349">
        <v>1</v>
      </c>
      <c r="AC22" s="1955">
        <v>1</v>
      </c>
    </row>
    <row r="23" spans="1:29" ht="85.5">
      <c r="A23" s="376"/>
      <c r="B23" s="576" t="s">
        <v>1814</v>
      </c>
      <c r="C23" s="1956" t="str">
        <f>估价对象房地状况!C9</f>
        <v>周边3公里范围内有南海子公园、志远庄公园等自然景观，人文景观较少，综合评价环境状况一般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4"/>
      <c r="M23" s="2708"/>
      <c r="N23" s="2708"/>
      <c r="O23" s="2708"/>
      <c r="P23" s="3783"/>
      <c r="Q23" s="1348" t="str">
        <f>B23</f>
        <v>环境质量</v>
      </c>
      <c r="R23" s="701" t="s">
        <v>14</v>
      </c>
      <c r="S23" s="702">
        <f>F23</f>
        <v>100</v>
      </c>
      <c r="T23" s="701" t="s">
        <v>14</v>
      </c>
      <c r="U23" s="702">
        <f>H23</f>
        <v>100</v>
      </c>
      <c r="V23" s="701" t="s">
        <v>14</v>
      </c>
      <c r="W23" s="702">
        <f>J23</f>
        <v>100</v>
      </c>
      <c r="X23" s="1351"/>
      <c r="Y23" s="3727"/>
      <c r="Z23" s="1352" t="str">
        <f>Q23</f>
        <v>环境质量</v>
      </c>
      <c r="AA23" s="1349">
        <f t="shared" si="3"/>
        <v>1</v>
      </c>
      <c r="AB23" s="1349">
        <f t="shared" si="4"/>
        <v>1</v>
      </c>
      <c r="AC23" s="1955">
        <f t="shared" si="5"/>
        <v>1</v>
      </c>
    </row>
    <row r="24" spans="1:29" ht="15">
      <c r="A24" s="376"/>
      <c r="B24" s="578"/>
      <c r="C24" s="1899"/>
      <c r="D24" s="396"/>
      <c r="E24" s="1892"/>
      <c r="F24" s="396"/>
      <c r="G24" s="1893"/>
      <c r="H24" s="396"/>
      <c r="I24" s="1893"/>
      <c r="J24" s="396"/>
      <c r="K24" s="561"/>
      <c r="L24" s="2714"/>
      <c r="M24" s="2708"/>
      <c r="N24" s="2708"/>
      <c r="O24" s="2708"/>
      <c r="P24" s="3783"/>
      <c r="Q24" s="1348"/>
      <c r="R24" s="701"/>
      <c r="S24" s="702"/>
      <c r="T24" s="701"/>
      <c r="U24" s="702"/>
      <c r="V24" s="701"/>
      <c r="W24" s="702"/>
      <c r="X24" s="1351"/>
      <c r="Y24" s="3727"/>
      <c r="Z24" s="1352"/>
      <c r="AA24" s="1349">
        <v>1</v>
      </c>
      <c r="AB24" s="1349">
        <v>1</v>
      </c>
      <c r="AC24" s="1955">
        <v>1</v>
      </c>
    </row>
    <row r="25" spans="1:29" ht="27">
      <c r="A25" s="355"/>
      <c r="B25" s="576" t="s">
        <v>1815</v>
      </c>
      <c r="C25" s="1903"/>
      <c r="D25" s="383">
        <v>100</v>
      </c>
      <c r="E25" s="382"/>
      <c r="F25" s="383">
        <f>SUMIF(87:87,E26,88:88)-SUMIF(87:87,C26,88:88)+100</f>
        <v>100</v>
      </c>
      <c r="G25" s="1903"/>
      <c r="H25" s="383">
        <f>SUMIF(87:87,G26,88:88)-SUMIF(87:87,C26,88:88)+100</f>
        <v>100</v>
      </c>
      <c r="I25" s="382"/>
      <c r="J25" s="383">
        <f>SUMIF(87:87,I26,88:88)-SUMIF(87:87,C26,88:88)+100</f>
        <v>100</v>
      </c>
      <c r="K25" s="560"/>
      <c r="L25" s="2714"/>
      <c r="M25" s="2708"/>
      <c r="N25" s="2708"/>
      <c r="O25" s="2708"/>
      <c r="P25" s="3783"/>
      <c r="Q25" s="1348" t="str">
        <f>B25</f>
        <v>毗邻道路的类型与等级</v>
      </c>
      <c r="R25" s="701" t="s">
        <v>14</v>
      </c>
      <c r="S25" s="702">
        <f>F25</f>
        <v>100</v>
      </c>
      <c r="T25" s="701" t="s">
        <v>14</v>
      </c>
      <c r="U25" s="702">
        <f>H25</f>
        <v>100</v>
      </c>
      <c r="V25" s="701" t="s">
        <v>14</v>
      </c>
      <c r="W25" s="702">
        <f>J25</f>
        <v>100</v>
      </c>
      <c r="X25" s="1351"/>
      <c r="Y25" s="3727"/>
      <c r="Z25" s="1352" t="str">
        <f>Q25</f>
        <v>毗邻道路的类型与等级</v>
      </c>
      <c r="AA25" s="1349">
        <f t="shared" si="3"/>
        <v>1</v>
      </c>
      <c r="AB25" s="1349">
        <f t="shared" si="4"/>
        <v>1</v>
      </c>
      <c r="AC25" s="1955">
        <f t="shared" si="5"/>
        <v>1</v>
      </c>
    </row>
    <row r="26" spans="1:29" ht="15">
      <c r="A26" s="355"/>
      <c r="B26" s="577"/>
      <c r="C26" s="579"/>
      <c r="D26" s="383"/>
      <c r="E26" s="562"/>
      <c r="F26" s="383"/>
      <c r="G26" s="579"/>
      <c r="H26" s="383"/>
      <c r="I26" s="562"/>
      <c r="J26" s="383"/>
      <c r="K26" s="561"/>
      <c r="L26" s="2714"/>
      <c r="M26" s="2708"/>
      <c r="N26" s="2708"/>
      <c r="O26" s="2708"/>
      <c r="P26" s="3783"/>
      <c r="Q26" s="1348"/>
      <c r="R26" s="701"/>
      <c r="S26" s="702"/>
      <c r="T26" s="701"/>
      <c r="U26" s="702"/>
      <c r="V26" s="701"/>
      <c r="W26" s="702"/>
      <c r="X26" s="1351"/>
      <c r="Y26" s="3727"/>
      <c r="Z26" s="1352"/>
      <c r="AA26" s="1349">
        <v>1</v>
      </c>
      <c r="AB26" s="1349">
        <v>1</v>
      </c>
      <c r="AC26" s="1955">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783"/>
      <c r="Q27" s="1348" t="str">
        <f t="shared" ref="Q27:Q47" si="11">B27</f>
        <v>楼层</v>
      </c>
      <c r="R27" s="701" t="s">
        <v>14</v>
      </c>
      <c r="S27" s="702">
        <f>F27</f>
        <v>100</v>
      </c>
      <c r="T27" s="701" t="s">
        <v>14</v>
      </c>
      <c r="U27" s="702">
        <f>H27</f>
        <v>100</v>
      </c>
      <c r="V27" s="701" t="s">
        <v>14</v>
      </c>
      <c r="W27" s="702">
        <f>J27</f>
        <v>100</v>
      </c>
      <c r="X27" s="1351"/>
      <c r="Y27" s="3727"/>
      <c r="Z27" s="1352" t="str">
        <f>Q27</f>
        <v>楼层</v>
      </c>
      <c r="AA27" s="1349">
        <f t="shared" si="3"/>
        <v>1</v>
      </c>
      <c r="AB27" s="1349">
        <f t="shared" si="4"/>
        <v>1</v>
      </c>
      <c r="AC27" s="1955">
        <f t="shared" si="5"/>
        <v>1</v>
      </c>
    </row>
    <row r="28" spans="1:29" s="108" customFormat="1" ht="15">
      <c r="A28" s="379"/>
      <c r="B28" s="576" t="s">
        <v>1816</v>
      </c>
      <c r="C28" s="1958"/>
      <c r="D28" s="410">
        <v>100</v>
      </c>
      <c r="E28" s="1949"/>
      <c r="F28" s="410">
        <f>SUMIF(91:91,E28,92:92)-SUMIF(91:91,C28,92:92)+100</f>
        <v>100</v>
      </c>
      <c r="G28" s="1958"/>
      <c r="H28" s="410">
        <f>SUMIF(91:91,G28,92:92)-SUMIF(91:91,C28,92:92)+100</f>
        <v>100</v>
      </c>
      <c r="I28" s="1949"/>
      <c r="J28" s="410">
        <f>SUMIF(91:91,I28,92:92)-SUMIF(91:91,C28,92:92)+100</f>
        <v>100</v>
      </c>
      <c r="K28" s="558"/>
      <c r="L28" s="2709"/>
      <c r="M28" s="2710"/>
      <c r="N28" s="2710"/>
      <c r="O28" s="2710"/>
      <c r="P28" s="3783"/>
      <c r="Q28" s="1339" t="str">
        <f t="shared" si="11"/>
        <v>朝向</v>
      </c>
      <c r="R28" s="697" t="s">
        <v>14</v>
      </c>
      <c r="S28" s="698">
        <f>F28</f>
        <v>100</v>
      </c>
      <c r="T28" s="697" t="s">
        <v>14</v>
      </c>
      <c r="U28" s="698">
        <f>H28</f>
        <v>100</v>
      </c>
      <c r="V28" s="697" t="s">
        <v>14</v>
      </c>
      <c r="W28" s="698">
        <f>J28</f>
        <v>100</v>
      </c>
      <c r="X28" s="699"/>
      <c r="Y28" s="3727"/>
      <c r="Z28" s="52" t="str">
        <f>Q28</f>
        <v>朝向</v>
      </c>
      <c r="AA28" s="1349">
        <f>D28/F28</f>
        <v>1</v>
      </c>
      <c r="AB28" s="1349">
        <f>D28/H28</f>
        <v>1</v>
      </c>
      <c r="AC28" s="1955">
        <f>D28/J28</f>
        <v>1</v>
      </c>
    </row>
    <row r="29" spans="1:29" ht="15">
      <c r="A29" s="376"/>
      <c r="B29" s="1959">
        <v>111</v>
      </c>
      <c r="C29" s="1903"/>
      <c r="D29" s="383">
        <v>100</v>
      </c>
      <c r="E29" s="380"/>
      <c r="F29" s="383">
        <f>SUMIF(93:93,E29,94:94)-SUMIF(93:93,C29,94:94)+100</f>
        <v>100</v>
      </c>
      <c r="G29" s="1953"/>
      <c r="H29" s="383">
        <f>SUMIF(93:93,G29,94:94)-SUMIF(93:93,C29,94:94)+100</f>
        <v>100</v>
      </c>
      <c r="I29" s="380"/>
      <c r="J29" s="383">
        <f>SUMIF(93:93,I29,94:94)-SUMIF(93:93,C29,94:94)+100</f>
        <v>100</v>
      </c>
      <c r="K29" s="559"/>
      <c r="L29" s="2714"/>
      <c r="M29" s="2708"/>
      <c r="N29" s="2708"/>
      <c r="O29" s="2708"/>
      <c r="P29" s="3783"/>
      <c r="Q29" s="1348">
        <f t="shared" si="11"/>
        <v>111</v>
      </c>
      <c r="R29" s="701" t="s">
        <v>14</v>
      </c>
      <c r="S29" s="702">
        <f t="shared" ref="S29:S47" si="12">F29</f>
        <v>100</v>
      </c>
      <c r="T29" s="701" t="s">
        <v>14</v>
      </c>
      <c r="U29" s="702">
        <f t="shared" ref="U29:U47" si="13">H29</f>
        <v>100</v>
      </c>
      <c r="V29" s="701" t="s">
        <v>14</v>
      </c>
      <c r="W29" s="702">
        <f t="shared" ref="W29:W47" si="14">J29</f>
        <v>100</v>
      </c>
      <c r="X29" s="1351"/>
      <c r="Y29" s="3727"/>
      <c r="Z29" s="1352">
        <f t="shared" ref="Z29:Z47" si="15">Q29</f>
        <v>111</v>
      </c>
      <c r="AA29" s="1349">
        <f t="shared" si="3"/>
        <v>1</v>
      </c>
      <c r="AB29" s="1349">
        <f t="shared" si="4"/>
        <v>1</v>
      </c>
      <c r="AC29" s="1955">
        <f t="shared" si="5"/>
        <v>1</v>
      </c>
    </row>
    <row r="30" spans="1:29" ht="15">
      <c r="A30" s="376"/>
      <c r="B30" s="1959">
        <v>111</v>
      </c>
      <c r="C30" s="1903"/>
      <c r="D30" s="383">
        <v>100</v>
      </c>
      <c r="E30" s="380"/>
      <c r="F30" s="383">
        <f>SUMIF(95:95,E30,96:96)-SUMIF(95:95,C30,96:96)+100</f>
        <v>100</v>
      </c>
      <c r="G30" s="1953"/>
      <c r="H30" s="383">
        <f>SUMIF(95:95,G30,96:96)-SUMIF(95:95,C30,96:96)+100</f>
        <v>100</v>
      </c>
      <c r="I30" s="380"/>
      <c r="J30" s="383">
        <f>SUMIF(95:95,I30,96:96)-SUMIF(95:95,C30,96:96)+100</f>
        <v>100</v>
      </c>
      <c r="K30" s="559"/>
      <c r="L30" s="2714"/>
      <c r="M30" s="2708"/>
      <c r="N30" s="2708"/>
      <c r="O30" s="2708"/>
      <c r="P30" s="3783"/>
      <c r="Q30" s="1348">
        <f t="shared" si="11"/>
        <v>111</v>
      </c>
      <c r="R30" s="701" t="s">
        <v>14</v>
      </c>
      <c r="S30" s="702">
        <f t="shared" si="12"/>
        <v>100</v>
      </c>
      <c r="T30" s="701" t="s">
        <v>14</v>
      </c>
      <c r="U30" s="702">
        <f t="shared" si="13"/>
        <v>100</v>
      </c>
      <c r="V30" s="701" t="s">
        <v>14</v>
      </c>
      <c r="W30" s="702">
        <f t="shared" si="14"/>
        <v>100</v>
      </c>
      <c r="X30" s="1351"/>
      <c r="Y30" s="3727"/>
      <c r="Z30" s="1352">
        <f t="shared" si="15"/>
        <v>111</v>
      </c>
      <c r="AA30" s="1349">
        <f t="shared" si="3"/>
        <v>1</v>
      </c>
      <c r="AB30" s="1349">
        <f t="shared" si="4"/>
        <v>1</v>
      </c>
      <c r="AC30" s="1955">
        <f t="shared" si="5"/>
        <v>1</v>
      </c>
    </row>
    <row r="31" spans="1:29" ht="15">
      <c r="A31" s="376"/>
      <c r="B31" s="1959">
        <v>111</v>
      </c>
      <c r="C31" s="1903"/>
      <c r="D31" s="383">
        <v>100</v>
      </c>
      <c r="E31" s="380"/>
      <c r="F31" s="383">
        <f>SUMIF(97:97,E31,98:98)-SUMIF(97:97,C31,98:98)+100</f>
        <v>100</v>
      </c>
      <c r="G31" s="1953"/>
      <c r="H31" s="383">
        <f>SUMIF(97:97,G31,98:98)-SUMIF(97:97,C31,98:98)+100</f>
        <v>100</v>
      </c>
      <c r="I31" s="380"/>
      <c r="J31" s="383">
        <f>SUMIF(97:97,I31,98:98)-SUMIF(97:97,C31,98:98)+100</f>
        <v>100</v>
      </c>
      <c r="K31" s="559"/>
      <c r="L31" s="2714"/>
      <c r="M31" s="2708"/>
      <c r="N31" s="2708"/>
      <c r="O31" s="2708"/>
      <c r="P31" s="3783"/>
      <c r="Q31" s="1348">
        <f t="shared" si="11"/>
        <v>111</v>
      </c>
      <c r="R31" s="701" t="s">
        <v>14</v>
      </c>
      <c r="S31" s="702">
        <f t="shared" si="12"/>
        <v>100</v>
      </c>
      <c r="T31" s="701" t="s">
        <v>14</v>
      </c>
      <c r="U31" s="702">
        <f t="shared" si="13"/>
        <v>100</v>
      </c>
      <c r="V31" s="701" t="s">
        <v>14</v>
      </c>
      <c r="W31" s="702">
        <f t="shared" si="14"/>
        <v>100</v>
      </c>
      <c r="X31" s="1351"/>
      <c r="Y31" s="3727"/>
      <c r="Z31" s="1352">
        <f t="shared" si="15"/>
        <v>111</v>
      </c>
      <c r="AA31" s="1349">
        <f t="shared" si="3"/>
        <v>1</v>
      </c>
      <c r="AB31" s="1349">
        <f t="shared" si="4"/>
        <v>1</v>
      </c>
      <c r="AC31" s="1955">
        <f t="shared" si="5"/>
        <v>1</v>
      </c>
    </row>
    <row r="32" spans="1:29" ht="15.75" thickBot="1">
      <c r="A32" s="384"/>
      <c r="B32" s="580">
        <v>111</v>
      </c>
      <c r="C32" s="1904"/>
      <c r="D32" s="386">
        <v>100</v>
      </c>
      <c r="E32" s="573"/>
      <c r="F32" s="386">
        <f>SUMIF(99:99,E32,100:100)-SUMIF(99:99,C32,100:100)+100</f>
        <v>100</v>
      </c>
      <c r="G32" s="1953"/>
      <c r="H32" s="386">
        <f>SUMIF(99:99,G32,100:100)-SUMIF(99:99,C32,100:100)+100</f>
        <v>100</v>
      </c>
      <c r="I32" s="380"/>
      <c r="J32" s="386">
        <f>SUMIF(99:99,I32,100:100)-SUMIF(99:99,C32,100:100)+100</f>
        <v>100</v>
      </c>
      <c r="K32" s="559"/>
      <c r="L32" s="2714"/>
      <c r="M32" s="2708"/>
      <c r="N32" s="2708"/>
      <c r="O32" s="2708"/>
      <c r="P32" s="3783"/>
      <c r="Q32" s="1348">
        <f t="shared" si="11"/>
        <v>111</v>
      </c>
      <c r="R32" s="701" t="s">
        <v>14</v>
      </c>
      <c r="S32" s="702">
        <f t="shared" si="12"/>
        <v>100</v>
      </c>
      <c r="T32" s="701" t="s">
        <v>14</v>
      </c>
      <c r="U32" s="702">
        <f t="shared" si="13"/>
        <v>100</v>
      </c>
      <c r="V32" s="701" t="s">
        <v>14</v>
      </c>
      <c r="W32" s="702">
        <f t="shared" si="14"/>
        <v>100</v>
      </c>
      <c r="X32" s="1351"/>
      <c r="Y32" s="3727"/>
      <c r="Z32" s="1352">
        <f t="shared" si="15"/>
        <v>111</v>
      </c>
      <c r="AA32" s="1349">
        <f t="shared" si="3"/>
        <v>1</v>
      </c>
      <c r="AB32" s="1349">
        <f t="shared" si="4"/>
        <v>1</v>
      </c>
      <c r="AC32" s="1955">
        <f t="shared" si="5"/>
        <v>1</v>
      </c>
    </row>
    <row r="33" spans="1:29" ht="15">
      <c r="A33" s="388" t="s">
        <v>1694</v>
      </c>
      <c r="B33" s="63" t="s">
        <v>1817</v>
      </c>
      <c r="C33" s="1960"/>
      <c r="D33" s="415">
        <v>100</v>
      </c>
      <c r="E33" s="1960"/>
      <c r="F33" s="409">
        <f>SUMIF(101:101,E33,102:102)-SUMIF(101:101,C33,102:102)+100</f>
        <v>100</v>
      </c>
      <c r="G33" s="1960"/>
      <c r="H33" s="383">
        <f>SUMIF(101:101,G33,102:102)-SUMIF(101:101,C33,102:102)+100</f>
        <v>100</v>
      </c>
      <c r="I33" s="1960"/>
      <c r="J33" s="415">
        <f>SUMIF(101:101,I33,102:102)-SUMIF(101:101,C33,102:102)+100</f>
        <v>100</v>
      </c>
      <c r="K33" s="558"/>
      <c r="L33" s="2714"/>
      <c r="M33" s="2708"/>
      <c r="N33" s="2708"/>
      <c r="O33" s="2708"/>
      <c r="P33" s="3778" t="s">
        <v>1696</v>
      </c>
      <c r="Q33" s="1348" t="str">
        <f t="shared" si="11"/>
        <v>建筑类型</v>
      </c>
      <c r="R33" s="701" t="s">
        <v>14</v>
      </c>
      <c r="S33" s="702">
        <f t="shared" si="12"/>
        <v>100</v>
      </c>
      <c r="T33" s="701" t="s">
        <v>14</v>
      </c>
      <c r="U33" s="702">
        <f t="shared" si="13"/>
        <v>100</v>
      </c>
      <c r="V33" s="701" t="s">
        <v>14</v>
      </c>
      <c r="W33" s="702">
        <f t="shared" si="14"/>
        <v>100</v>
      </c>
      <c r="X33" s="1351"/>
      <c r="Y33" s="3729" t="s">
        <v>1696</v>
      </c>
      <c r="Z33" s="1352" t="str">
        <f t="shared" si="15"/>
        <v>建筑类型</v>
      </c>
      <c r="AA33" s="1349">
        <f t="shared" si="3"/>
        <v>1</v>
      </c>
      <c r="AB33" s="1349">
        <f t="shared" si="4"/>
        <v>1</v>
      </c>
      <c r="AC33" s="1955">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3"/>
      <c r="M34" s="2715"/>
      <c r="N34" s="2715"/>
      <c r="O34" s="2715"/>
      <c r="P34" s="3779"/>
      <c r="Q34" s="703" t="str">
        <f t="shared" si="11"/>
        <v>项目建筑规模</v>
      </c>
      <c r="R34" s="704" t="s">
        <v>14</v>
      </c>
      <c r="S34" s="705" t="e">
        <f t="shared" si="12"/>
        <v>#N/A</v>
      </c>
      <c r="T34" s="704" t="s">
        <v>14</v>
      </c>
      <c r="U34" s="705" t="e">
        <f t="shared" si="13"/>
        <v>#N/A</v>
      </c>
      <c r="V34" s="704" t="s">
        <v>14</v>
      </c>
      <c r="W34" s="705" t="e">
        <f t="shared" si="14"/>
        <v>#N/A</v>
      </c>
      <c r="X34" s="706"/>
      <c r="Y34" s="3729"/>
      <c r="Z34" s="707" t="str">
        <f t="shared" si="15"/>
        <v>项目建筑规模</v>
      </c>
      <c r="AA34" s="1349" t="e">
        <f t="shared" si="3"/>
        <v>#N/A</v>
      </c>
      <c r="AB34" s="1349" t="e">
        <f t="shared" si="4"/>
        <v>#N/A</v>
      </c>
      <c r="AC34" s="1955"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4"/>
      <c r="M35" s="2708"/>
      <c r="N35" s="2708"/>
      <c r="O35" s="2708"/>
      <c r="P35" s="3779"/>
      <c r="Q35" s="1348" t="str">
        <f t="shared" si="11"/>
        <v>建筑结构</v>
      </c>
      <c r="R35" s="701" t="s">
        <v>14</v>
      </c>
      <c r="S35" s="702">
        <f t="shared" si="12"/>
        <v>100</v>
      </c>
      <c r="T35" s="701" t="s">
        <v>14</v>
      </c>
      <c r="U35" s="702">
        <f t="shared" si="13"/>
        <v>100</v>
      </c>
      <c r="V35" s="701" t="s">
        <v>14</v>
      </c>
      <c r="W35" s="702">
        <f t="shared" si="14"/>
        <v>100</v>
      </c>
      <c r="X35" s="1351"/>
      <c r="Y35" s="3729"/>
      <c r="Z35" s="1352" t="str">
        <f t="shared" si="15"/>
        <v>建筑结构</v>
      </c>
      <c r="AA35" s="1349">
        <f t="shared" si="3"/>
        <v>1</v>
      </c>
      <c r="AB35" s="1349">
        <f t="shared" si="4"/>
        <v>1</v>
      </c>
      <c r="AC35" s="1955">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4"/>
      <c r="M36" s="2708"/>
      <c r="N36" s="2708"/>
      <c r="O36" s="2708"/>
      <c r="P36" s="3779"/>
      <c r="Q36" s="1348" t="str">
        <f t="shared" si="11"/>
        <v>公共部分装修</v>
      </c>
      <c r="R36" s="701" t="s">
        <v>14</v>
      </c>
      <c r="S36" s="702">
        <f t="shared" si="12"/>
        <v>100</v>
      </c>
      <c r="T36" s="701" t="s">
        <v>14</v>
      </c>
      <c r="U36" s="702">
        <f t="shared" si="13"/>
        <v>100</v>
      </c>
      <c r="V36" s="701" t="s">
        <v>14</v>
      </c>
      <c r="W36" s="702">
        <f t="shared" si="14"/>
        <v>100</v>
      </c>
      <c r="X36" s="1351"/>
      <c r="Y36" s="3729"/>
      <c r="Z36" s="1352" t="str">
        <f t="shared" si="15"/>
        <v>公共部分装修</v>
      </c>
      <c r="AA36" s="1349">
        <f t="shared" si="3"/>
        <v>1</v>
      </c>
      <c r="AB36" s="1349">
        <f t="shared" si="4"/>
        <v>1</v>
      </c>
      <c r="AC36" s="1955">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4"/>
      <c r="M37" s="2708"/>
      <c r="N37" s="2708"/>
      <c r="O37" s="2708"/>
      <c r="P37" s="3779"/>
      <c r="Q37" s="1348" t="str">
        <f t="shared" si="11"/>
        <v>成新度</v>
      </c>
      <c r="R37" s="701" t="s">
        <v>14</v>
      </c>
      <c r="S37" s="702" t="e">
        <f t="shared" si="12"/>
        <v>#N/A</v>
      </c>
      <c r="T37" s="701" t="s">
        <v>14</v>
      </c>
      <c r="U37" s="702" t="e">
        <f t="shared" si="13"/>
        <v>#N/A</v>
      </c>
      <c r="V37" s="701" t="s">
        <v>14</v>
      </c>
      <c r="W37" s="702" t="e">
        <f t="shared" si="14"/>
        <v>#N/A</v>
      </c>
      <c r="X37" s="1351"/>
      <c r="Y37" s="3729"/>
      <c r="Z37" s="1352" t="str">
        <f t="shared" si="15"/>
        <v>成新度</v>
      </c>
      <c r="AA37" s="1349" t="e">
        <f t="shared" si="3"/>
        <v>#N/A</v>
      </c>
      <c r="AB37" s="1349" t="e">
        <f t="shared" si="4"/>
        <v>#N/A</v>
      </c>
      <c r="AC37" s="1955"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779"/>
      <c r="Q38" s="1339" t="str">
        <f t="shared" si="11"/>
        <v>写字楼等级</v>
      </c>
      <c r="R38" s="697" t="s">
        <v>14</v>
      </c>
      <c r="S38" s="698">
        <f t="shared" si="12"/>
        <v>100</v>
      </c>
      <c r="T38" s="697" t="s">
        <v>14</v>
      </c>
      <c r="U38" s="698">
        <f t="shared" si="13"/>
        <v>100</v>
      </c>
      <c r="V38" s="697" t="s">
        <v>14</v>
      </c>
      <c r="W38" s="698">
        <f t="shared" si="14"/>
        <v>100</v>
      </c>
      <c r="X38" s="699"/>
      <c r="Y38" s="3729"/>
      <c r="Z38" s="52" t="str">
        <f t="shared" si="15"/>
        <v>写字楼等级</v>
      </c>
      <c r="AA38" s="700">
        <f t="shared" si="3"/>
        <v>1</v>
      </c>
      <c r="AB38" s="700">
        <f t="shared" si="4"/>
        <v>1</v>
      </c>
      <c r="AC38" s="1952">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4"/>
      <c r="M39" s="2708"/>
      <c r="N39" s="2708"/>
      <c r="O39" s="2708"/>
      <c r="P39" s="3779" t="s">
        <v>1696</v>
      </c>
      <c r="Q39" s="1348" t="str">
        <f t="shared" si="11"/>
        <v>物业管理</v>
      </c>
      <c r="R39" s="701" t="s">
        <v>14</v>
      </c>
      <c r="S39" s="702">
        <f t="shared" si="12"/>
        <v>100</v>
      </c>
      <c r="T39" s="701" t="s">
        <v>14</v>
      </c>
      <c r="U39" s="702">
        <f t="shared" si="13"/>
        <v>100</v>
      </c>
      <c r="V39" s="701" t="s">
        <v>14</v>
      </c>
      <c r="W39" s="702">
        <f t="shared" si="14"/>
        <v>100</v>
      </c>
      <c r="X39" s="1351"/>
      <c r="Y39" s="3729" t="s">
        <v>1696</v>
      </c>
      <c r="Z39" s="1352" t="str">
        <f t="shared" si="15"/>
        <v>物业管理</v>
      </c>
      <c r="AA39" s="1349">
        <f t="shared" si="3"/>
        <v>1</v>
      </c>
      <c r="AB39" s="1349">
        <f t="shared" si="4"/>
        <v>1</v>
      </c>
      <c r="AC39" s="1955">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4"/>
      <c r="M40" s="2708"/>
      <c r="N40" s="2708"/>
      <c r="O40" s="2708"/>
      <c r="P40" s="3779"/>
      <c r="Q40" s="1348" t="str">
        <f t="shared" si="11"/>
        <v>市政基础设施</v>
      </c>
      <c r="R40" s="701" t="s">
        <v>14</v>
      </c>
      <c r="S40" s="702">
        <f t="shared" si="12"/>
        <v>100</v>
      </c>
      <c r="T40" s="701" t="s">
        <v>14</v>
      </c>
      <c r="U40" s="702">
        <f t="shared" si="13"/>
        <v>100</v>
      </c>
      <c r="V40" s="701" t="s">
        <v>14</v>
      </c>
      <c r="W40" s="702">
        <f t="shared" si="14"/>
        <v>100</v>
      </c>
      <c r="X40" s="1351"/>
      <c r="Y40" s="3729"/>
      <c r="Z40" s="1352" t="str">
        <f t="shared" si="15"/>
        <v>市政基础设施</v>
      </c>
      <c r="AA40" s="1349">
        <f t="shared" si="3"/>
        <v>1</v>
      </c>
      <c r="AB40" s="1349">
        <f t="shared" si="4"/>
        <v>1</v>
      </c>
      <c r="AC40" s="1955">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779"/>
      <c r="Q41" s="1348" t="str">
        <f t="shared" si="11"/>
        <v>层高</v>
      </c>
      <c r="R41" s="701" t="s">
        <v>14</v>
      </c>
      <c r="S41" s="702">
        <f t="shared" si="12"/>
        <v>100</v>
      </c>
      <c r="T41" s="701" t="s">
        <v>14</v>
      </c>
      <c r="U41" s="702">
        <f t="shared" si="13"/>
        <v>100</v>
      </c>
      <c r="V41" s="701" t="s">
        <v>14</v>
      </c>
      <c r="W41" s="702">
        <f t="shared" si="14"/>
        <v>100</v>
      </c>
      <c r="X41" s="1351"/>
      <c r="Y41" s="3729"/>
      <c r="Z41" s="1352" t="str">
        <f t="shared" si="15"/>
        <v>层高</v>
      </c>
      <c r="AA41" s="1349">
        <f t="shared" si="3"/>
        <v>1</v>
      </c>
      <c r="AB41" s="1349">
        <f t="shared" si="4"/>
        <v>1</v>
      </c>
      <c r="AC41" s="1955">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3"/>
      <c r="M42" s="2715"/>
      <c r="N42" s="2715"/>
      <c r="O42" s="2715"/>
      <c r="P42" s="3779"/>
      <c r="Q42" s="703" t="str">
        <f t="shared" si="11"/>
        <v>单套建筑面积</v>
      </c>
      <c r="R42" s="704" t="s">
        <v>14</v>
      </c>
      <c r="S42" s="705">
        <f t="shared" si="12"/>
        <v>100</v>
      </c>
      <c r="T42" s="704" t="s">
        <v>14</v>
      </c>
      <c r="U42" s="705">
        <f t="shared" si="13"/>
        <v>100</v>
      </c>
      <c r="V42" s="704" t="s">
        <v>14</v>
      </c>
      <c r="W42" s="705">
        <f t="shared" si="14"/>
        <v>100</v>
      </c>
      <c r="X42" s="706"/>
      <c r="Y42" s="3729"/>
      <c r="Z42" s="707" t="str">
        <f t="shared" si="15"/>
        <v>单套建筑面积</v>
      </c>
      <c r="AA42" s="1349">
        <f t="shared" si="3"/>
        <v>1</v>
      </c>
      <c r="AB42" s="1349">
        <f t="shared" si="4"/>
        <v>1</v>
      </c>
      <c r="AC42" s="1955">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4"/>
      <c r="M43" s="2708"/>
      <c r="N43" s="2708"/>
      <c r="O43" s="2708"/>
      <c r="P43" s="3779"/>
      <c r="Q43" s="1348" t="str">
        <f t="shared" si="11"/>
        <v>内部装修</v>
      </c>
      <c r="R43" s="701" t="s">
        <v>14</v>
      </c>
      <c r="S43" s="702">
        <f t="shared" si="12"/>
        <v>100</v>
      </c>
      <c r="T43" s="701" t="s">
        <v>14</v>
      </c>
      <c r="U43" s="702">
        <f t="shared" si="13"/>
        <v>100</v>
      </c>
      <c r="V43" s="701" t="s">
        <v>14</v>
      </c>
      <c r="W43" s="702">
        <f t="shared" si="14"/>
        <v>100</v>
      </c>
      <c r="X43" s="1351"/>
      <c r="Y43" s="3729"/>
      <c r="Z43" s="1352" t="str">
        <f t="shared" si="15"/>
        <v>内部装修</v>
      </c>
      <c r="AA43" s="1349">
        <f t="shared" si="3"/>
        <v>1</v>
      </c>
      <c r="AB43" s="1349">
        <f t="shared" si="4"/>
        <v>1</v>
      </c>
      <c r="AC43" s="1955">
        <f t="shared" si="5"/>
        <v>1</v>
      </c>
    </row>
    <row r="44" spans="1:29" ht="15">
      <c r="A44" s="420"/>
      <c r="B44" s="372" t="s">
        <v>1707</v>
      </c>
      <c r="C44" s="408"/>
      <c r="D44" s="383">
        <v>100</v>
      </c>
      <c r="E44" s="1901"/>
      <c r="F44" s="409">
        <f>SUMIF(125:125,E44,126:126)-SUMIF(125:125,C44,126:126)+100</f>
        <v>100</v>
      </c>
      <c r="G44" s="1901"/>
      <c r="H44" s="383">
        <f>SUMIF(125:125,G44,126:126)-SUMIF(125:125,C44,126:126)+100</f>
        <v>100</v>
      </c>
      <c r="I44" s="1901"/>
      <c r="J44" s="383">
        <f>SUMIF(125:125,I44,126:126)-SUMIF(125:125,C44,126:126)+100</f>
        <v>100</v>
      </c>
      <c r="K44" s="558"/>
      <c r="L44" s="2714"/>
      <c r="M44" s="2708"/>
      <c r="N44" s="2708"/>
      <c r="O44" s="2708"/>
      <c r="P44" s="3779"/>
      <c r="Q44" s="1348" t="str">
        <f t="shared" si="11"/>
        <v>内部装修维护情况</v>
      </c>
      <c r="R44" s="701" t="s">
        <v>14</v>
      </c>
      <c r="S44" s="702">
        <f t="shared" si="12"/>
        <v>100</v>
      </c>
      <c r="T44" s="701" t="s">
        <v>14</v>
      </c>
      <c r="U44" s="702">
        <f t="shared" si="13"/>
        <v>100</v>
      </c>
      <c r="V44" s="701" t="s">
        <v>14</v>
      </c>
      <c r="W44" s="702">
        <f t="shared" si="14"/>
        <v>100</v>
      </c>
      <c r="X44" s="1351"/>
      <c r="Y44" s="3729"/>
      <c r="Z44" s="1352" t="str">
        <f t="shared" si="15"/>
        <v>内部装修维护情况</v>
      </c>
      <c r="AA44" s="1349">
        <f t="shared" si="3"/>
        <v>1</v>
      </c>
      <c r="AB44" s="1349">
        <f t="shared" si="4"/>
        <v>1</v>
      </c>
      <c r="AC44" s="1955">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9"/>
      <c r="M45" s="2710"/>
      <c r="N45" s="2710"/>
      <c r="O45" s="2710"/>
      <c r="P45" s="3779"/>
      <c r="Q45" s="1339">
        <f t="shared" si="11"/>
        <v>111</v>
      </c>
      <c r="R45" s="697" t="s">
        <v>14</v>
      </c>
      <c r="S45" s="698">
        <f t="shared" si="12"/>
        <v>100</v>
      </c>
      <c r="T45" s="697" t="s">
        <v>14</v>
      </c>
      <c r="U45" s="698">
        <f t="shared" si="13"/>
        <v>100</v>
      </c>
      <c r="V45" s="697" t="s">
        <v>14</v>
      </c>
      <c r="W45" s="698">
        <f t="shared" si="14"/>
        <v>100</v>
      </c>
      <c r="X45" s="699"/>
      <c r="Y45" s="3729"/>
      <c r="Z45" s="52">
        <f t="shared" si="15"/>
        <v>111</v>
      </c>
      <c r="AA45" s="700">
        <f t="shared" si="3"/>
        <v>1</v>
      </c>
      <c r="AB45" s="700">
        <f t="shared" si="4"/>
        <v>1</v>
      </c>
      <c r="AC45" s="1952">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779"/>
      <c r="Q46" s="1348">
        <f t="shared" si="11"/>
        <v>111</v>
      </c>
      <c r="R46" s="701" t="s">
        <v>14</v>
      </c>
      <c r="S46" s="702">
        <f t="shared" si="12"/>
        <v>100</v>
      </c>
      <c r="T46" s="701" t="s">
        <v>14</v>
      </c>
      <c r="U46" s="702">
        <f t="shared" si="13"/>
        <v>100</v>
      </c>
      <c r="V46" s="701" t="s">
        <v>14</v>
      </c>
      <c r="W46" s="702">
        <f t="shared" si="14"/>
        <v>100</v>
      </c>
      <c r="X46" s="1351"/>
      <c r="Y46" s="3729"/>
      <c r="Z46" s="1352">
        <f t="shared" si="15"/>
        <v>111</v>
      </c>
      <c r="AA46" s="1349">
        <f t="shared" si="3"/>
        <v>1</v>
      </c>
      <c r="AB46" s="1349">
        <f t="shared" si="4"/>
        <v>1</v>
      </c>
      <c r="AC46" s="1955">
        <f t="shared" si="5"/>
        <v>1</v>
      </c>
    </row>
    <row r="47" spans="1:29" ht="15.75" thickBot="1">
      <c r="A47" s="426"/>
      <c r="B47" s="1890">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780"/>
      <c r="Q47" s="1348">
        <f t="shared" si="11"/>
        <v>111</v>
      </c>
      <c r="R47" s="701" t="s">
        <v>14</v>
      </c>
      <c r="S47" s="702">
        <f t="shared" si="12"/>
        <v>100</v>
      </c>
      <c r="T47" s="701" t="s">
        <v>14</v>
      </c>
      <c r="U47" s="702">
        <f t="shared" si="13"/>
        <v>100</v>
      </c>
      <c r="V47" s="701" t="s">
        <v>14</v>
      </c>
      <c r="W47" s="702">
        <f t="shared" si="14"/>
        <v>100</v>
      </c>
      <c r="X47" s="1351"/>
      <c r="Y47" s="3781"/>
      <c r="Z47" s="1352">
        <f t="shared" si="15"/>
        <v>111</v>
      </c>
      <c r="AA47" s="1349">
        <f t="shared" si="3"/>
        <v>1</v>
      </c>
      <c r="AB47" s="1349">
        <f t="shared" si="4"/>
        <v>1</v>
      </c>
      <c r="AC47" s="1955">
        <f t="shared" si="5"/>
        <v>1</v>
      </c>
    </row>
    <row r="48" spans="1:29" ht="15">
      <c r="A48" s="427" t="s">
        <v>1708</v>
      </c>
      <c r="B48" s="428"/>
      <c r="C48" s="1150" t="s">
        <v>0</v>
      </c>
      <c r="D48" s="1151"/>
      <c r="E48" s="1152"/>
      <c r="F48" s="1153"/>
      <c r="G48" s="1154"/>
      <c r="H48" s="1155"/>
      <c r="I48" s="1152"/>
      <c r="J48" s="433"/>
      <c r="K48" s="710"/>
      <c r="L48" s="2716"/>
      <c r="M48" s="2708"/>
      <c r="N48" s="2708"/>
      <c r="O48" s="2708"/>
      <c r="P48" s="3735" t="str">
        <f>A48</f>
        <v>成交单价（元/平方米）</v>
      </c>
      <c r="Q48" s="3709"/>
      <c r="R48" s="3777">
        <f>E48</f>
        <v>0</v>
      </c>
      <c r="S48" s="3777"/>
      <c r="T48" s="3777">
        <f>G48</f>
        <v>0</v>
      </c>
      <c r="U48" s="3777"/>
      <c r="V48" s="3777">
        <f>I48</f>
        <v>0</v>
      </c>
      <c r="W48" s="3777"/>
      <c r="X48" s="394"/>
      <c r="Y48" s="708"/>
      <c r="Z48" s="394"/>
      <c r="AA48" s="394"/>
      <c r="AB48" s="394"/>
      <c r="AC48" s="575"/>
    </row>
    <row r="49" spans="1:29" ht="15.75" thickBot="1">
      <c r="A49" s="434" t="s">
        <v>1793</v>
      </c>
      <c r="B49" s="435"/>
      <c r="C49" s="1156" t="e">
        <f>R50</f>
        <v>#DIV/0!</v>
      </c>
      <c r="D49" s="2310" t="s">
        <v>2138</v>
      </c>
      <c r="E49" s="1157" t="e">
        <f>R49</f>
        <v>#DIV/0!</v>
      </c>
      <c r="F49" s="2311"/>
      <c r="G49" s="1156" t="e">
        <f>T49</f>
        <v>#DIV/0!</v>
      </c>
      <c r="H49" s="2311"/>
      <c r="I49" s="1157" t="e">
        <f>V49</f>
        <v>#DIV/0!</v>
      </c>
      <c r="J49" s="2311"/>
      <c r="K49" s="2313">
        <f>F49+H49+J49</f>
        <v>0</v>
      </c>
      <c r="L49" s="2716"/>
      <c r="M49" s="2708"/>
      <c r="N49" s="2708"/>
      <c r="O49" s="2708"/>
      <c r="P49" s="3735" t="str">
        <f>A49</f>
        <v>比较价值（元/平方米）</v>
      </c>
      <c r="Q49" s="3709"/>
      <c r="R49" s="3777" t="e">
        <f>IF(F1="售价",ROUND(PRODUCT(R48,AA7:AA47),0),ROUND(PRODUCT(R48,AA7:AA47),1))</f>
        <v>#DIV/0!</v>
      </c>
      <c r="S49" s="3777"/>
      <c r="T49" s="3777" t="e">
        <f>IF(F1="售价",ROUND(PRODUCT(T48,AB7:AB47),0),ROUND(PRODUCT(T48,AB7:AB47),1))</f>
        <v>#DIV/0!</v>
      </c>
      <c r="U49" s="3777"/>
      <c r="V49" s="3777" t="e">
        <f>IF(F1="售价",ROUND(PRODUCT(V48,AC7:AC47),0),ROUND(PRODUCT(V48,AC7:AC47),1))</f>
        <v>#DIV/0!</v>
      </c>
      <c r="W49" s="3777"/>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6"/>
      <c r="M50" s="2708"/>
      <c r="N50" s="2708"/>
      <c r="O50" s="2708"/>
      <c r="P50" s="3810" t="str">
        <f>A50</f>
        <v>估价对象XX用房的比较价值（楼面单价，元/平方米）</v>
      </c>
      <c r="Q50" s="3811"/>
      <c r="R50" s="3812" t="e">
        <f>IF(F1="售价",ROUND(IF(D49="简单平均",AVERAGE(R49:V49),R49*F49+T49*H49+V49*J49),0),ROUND(IF(D49="简单平均",AVERAGE(R49:V49),R49*F49+T49*H49+V49*J49),1))</f>
        <v>#DIV/0!</v>
      </c>
      <c r="S50" s="3812"/>
      <c r="T50" s="3812"/>
      <c r="U50" s="3812"/>
      <c r="V50" s="3812"/>
      <c r="W50" s="3812"/>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8"/>
      <c r="M58" s="936"/>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80" t="str">
        <f>YEAR(C7)&amp;"-"&amp;MONTH(C7)</f>
        <v>2023-2</v>
      </c>
      <c r="D59" s="1181">
        <f>EDATE(C59,-1)</f>
        <v>44927</v>
      </c>
      <c r="E59" s="1181">
        <f>EDATE(D59,-1)</f>
        <v>44896</v>
      </c>
      <c r="F59" s="1181">
        <f t="shared" ref="F59:O59" si="16">EDATE(E59,-1)</f>
        <v>44866</v>
      </c>
      <c r="G59" s="1181">
        <f t="shared" si="16"/>
        <v>44835</v>
      </c>
      <c r="H59" s="1181">
        <f t="shared" si="16"/>
        <v>44805</v>
      </c>
      <c r="I59" s="1181">
        <f t="shared" si="16"/>
        <v>44774</v>
      </c>
      <c r="J59" s="1181">
        <f t="shared" si="16"/>
        <v>44743</v>
      </c>
      <c r="K59" s="1181">
        <f t="shared" si="16"/>
        <v>44713</v>
      </c>
      <c r="L59" s="1181">
        <f t="shared" si="16"/>
        <v>44682</v>
      </c>
      <c r="M59" s="1181">
        <f t="shared" si="16"/>
        <v>44652</v>
      </c>
      <c r="N59" s="1181">
        <f t="shared" si="16"/>
        <v>44621</v>
      </c>
      <c r="O59" s="1181">
        <f t="shared" si="16"/>
        <v>44593</v>
      </c>
      <c r="P59" s="2751"/>
      <c r="Q59" s="2733"/>
      <c r="R59" s="2733"/>
      <c r="S59" s="2733"/>
      <c r="T59" s="2733"/>
      <c r="U59" s="2733"/>
      <c r="V59" s="2733"/>
      <c r="W59" s="2733"/>
      <c r="X59" s="2733"/>
      <c r="Y59" s="2733"/>
      <c r="Z59" s="2733"/>
      <c r="AA59" s="2733"/>
      <c r="AB59" s="2733"/>
      <c r="AC59" s="2733"/>
    </row>
    <row r="60" spans="1:29" s="108" customFormat="1" ht="15">
      <c r="A60" s="455"/>
      <c r="B60" s="456"/>
      <c r="C60" s="1179">
        <v>100</v>
      </c>
      <c r="D60" s="458"/>
      <c r="E60" s="458"/>
      <c r="F60" s="458"/>
      <c r="G60" s="458"/>
      <c r="H60" s="458"/>
      <c r="I60" s="458"/>
      <c r="J60" s="458"/>
      <c r="K60" s="458"/>
      <c r="L60" s="458"/>
      <c r="M60" s="459"/>
      <c r="N60" s="458"/>
      <c r="O60" s="459"/>
      <c r="P60" s="2752"/>
      <c r="Q60" s="2653"/>
      <c r="R60" s="2653"/>
      <c r="S60" s="2653"/>
      <c r="T60" s="2653"/>
      <c r="U60" s="2653"/>
      <c r="V60" s="2653"/>
      <c r="W60" s="2653"/>
      <c r="X60" s="2653"/>
      <c r="Y60" s="2653"/>
      <c r="Z60" s="2653"/>
      <c r="AA60" s="2653"/>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f>C9</f>
        <v>0</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c r="D66" s="529"/>
      <c r="E66" s="529"/>
      <c r="F66" s="529"/>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c r="D67" s="482"/>
      <c r="E67" s="482"/>
      <c r="F67" s="482"/>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5"/>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500"/>
      <c r="D87" s="500"/>
      <c r="E87" s="500"/>
      <c r="F87" s="500"/>
      <c r="G87" s="500"/>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20"/>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1"/>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476"/>
      <c r="D101" s="476"/>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c r="D104" s="541"/>
      <c r="E104" s="541"/>
      <c r="F104" s="541"/>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506"/>
      <c r="D105" s="482"/>
      <c r="E105" s="482"/>
      <c r="F105" s="482"/>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500"/>
      <c r="D106" s="500"/>
      <c r="E106" s="529"/>
      <c r="F106" s="529"/>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500"/>
      <c r="D108" s="500"/>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500"/>
      <c r="D115" s="500"/>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c r="D117" s="500"/>
      <c r="E117" s="500"/>
      <c r="F117" s="500"/>
      <c r="G117" s="500"/>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G26 C26 E26 I26" xr:uid="{00000000-0002-0000-2100-000008000000}">
      <formula1>办公道路级别</formula1>
    </dataValidation>
    <dataValidation type="list" allowBlank="1" showInputMessage="1" showErrorMessage="1" sqref="C28 E28 G28 I28" xr:uid="{00000000-0002-0000-2100-000009000000}">
      <formula1>办公朝向</formula1>
    </dataValidation>
    <dataValidation type="list" allowBlank="1" showInputMessage="1" showErrorMessage="1" sqref="C27 E27 G27 I27" xr:uid="{00000000-0002-0000-2100-00000A000000}">
      <formula1>办公楼层</formula1>
    </dataValidation>
    <dataValidation type="list" allowBlank="1" showInputMessage="1" showErrorMessage="1" sqref="C33 E33 G33 I33" xr:uid="{00000000-0002-0000-2100-00000B000000}">
      <formula1>办公建筑类型</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8 E38 G38 I38" xr:uid="{00000000-0002-0000-2100-00000D000000}">
      <formula1>写字楼等级</formula1>
    </dataValidation>
    <dataValidation type="list" allowBlank="1" showInputMessage="1" showErrorMessage="1" sqref="C39 E39 G39 I39" xr:uid="{00000000-0002-0000-2100-00000E000000}">
      <formula1>办公物业管理</formula1>
    </dataValidation>
    <dataValidation type="list" allowBlank="1" showInputMessage="1" showErrorMessage="1" sqref="C40 E40 G40 I40" xr:uid="{00000000-0002-0000-2100-00000F000000}">
      <formula1>办公基础设施水平</formula1>
    </dataValidation>
    <dataValidation type="list" allowBlank="1" showInputMessage="1" showErrorMessage="1" sqref="C41 E41 G41 I41" xr:uid="{00000000-0002-0000-2100-000010000000}">
      <formula1>办公层高</formula1>
    </dataValidation>
    <dataValidation type="list" allowBlank="1" showInputMessage="1" showErrorMessage="1" sqref="C43 E43 G43 I43" xr:uid="{00000000-0002-0000-2100-000011000000}">
      <formula1>办公内部装修</formula1>
    </dataValidation>
    <dataValidation type="list" allowBlank="1" showInputMessage="1" showErrorMessage="1" sqref="C8 E8 G8 I8" xr:uid="{00000000-0002-0000-2100-000012000000}">
      <formula1>办公交易情况</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9"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1826</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10" t="s">
        <v>1770</v>
      </c>
      <c r="D4" s="3711"/>
      <c r="E4" s="3712" t="s">
        <v>1771</v>
      </c>
      <c r="F4" s="3713"/>
      <c r="G4" s="3710" t="s">
        <v>1772</v>
      </c>
      <c r="H4" s="3711"/>
      <c r="I4" s="3710" t="s">
        <v>1773</v>
      </c>
      <c r="J4" s="3711"/>
      <c r="K4" s="556" t="s">
        <v>1774</v>
      </c>
      <c r="L4" s="909"/>
      <c r="M4" s="910"/>
      <c r="N4" s="910"/>
      <c r="O4" s="910"/>
      <c r="P4" s="3714" t="s">
        <v>1775</v>
      </c>
      <c r="Q4" s="3715"/>
      <c r="R4" s="3697" t="s">
        <v>1771</v>
      </c>
      <c r="S4" s="3698"/>
      <c r="T4" s="3697" t="s">
        <v>1772</v>
      </c>
      <c r="U4" s="3698"/>
      <c r="V4" s="3722" t="s">
        <v>1773</v>
      </c>
      <c r="W4" s="3722"/>
      <c r="X4" s="1351"/>
      <c r="Y4" s="3697" t="s">
        <v>1775</v>
      </c>
      <c r="Z4" s="3698"/>
      <c r="AA4" s="3692" t="s">
        <v>1771</v>
      </c>
      <c r="AB4" s="3693" t="s">
        <v>1772</v>
      </c>
      <c r="AC4" s="3692" t="s">
        <v>1773</v>
      </c>
    </row>
    <row r="5" spans="1:29" ht="15">
      <c r="A5" s="355"/>
      <c r="B5" s="356"/>
      <c r="C5" s="3794" t="s">
        <v>1673</v>
      </c>
      <c r="D5" s="3795"/>
      <c r="E5" s="3792" t="s">
        <v>1674</v>
      </c>
      <c r="F5" s="3793"/>
      <c r="G5" s="3794" t="s">
        <v>1675</v>
      </c>
      <c r="H5" s="3795"/>
      <c r="I5" s="3794" t="s">
        <v>1676</v>
      </c>
      <c r="J5" s="3795"/>
      <c r="K5" s="556"/>
      <c r="L5" s="909"/>
      <c r="M5" s="910"/>
      <c r="N5" s="910"/>
      <c r="O5" s="910"/>
      <c r="P5" s="3716"/>
      <c r="Q5" s="3717"/>
      <c r="R5" s="3699"/>
      <c r="S5" s="3700"/>
      <c r="T5" s="3699"/>
      <c r="U5" s="3700"/>
      <c r="V5" s="3722"/>
      <c r="W5" s="3722"/>
      <c r="X5" s="1351"/>
      <c r="Y5" s="3699"/>
      <c r="Z5" s="3700"/>
      <c r="AA5" s="3693"/>
      <c r="AB5" s="3693"/>
      <c r="AC5" s="3693"/>
    </row>
    <row r="6" spans="1:29" ht="15.75" thickBot="1">
      <c r="A6" s="357"/>
      <c r="B6" s="358"/>
      <c r="C6" s="3705" t="s">
        <v>1677</v>
      </c>
      <c r="D6" s="3706"/>
      <c r="E6" s="3796" t="s">
        <v>1677</v>
      </c>
      <c r="F6" s="3797"/>
      <c r="G6" s="3705" t="s">
        <v>1677</v>
      </c>
      <c r="H6" s="3706"/>
      <c r="I6" s="3705" t="s">
        <v>1677</v>
      </c>
      <c r="J6" s="3706"/>
      <c r="K6" s="556" t="s">
        <v>1678</v>
      </c>
      <c r="L6" s="909"/>
      <c r="M6" s="910"/>
      <c r="N6" s="910"/>
      <c r="O6" s="910"/>
      <c r="P6" s="3718"/>
      <c r="Q6" s="3719"/>
      <c r="R6" s="3699"/>
      <c r="S6" s="3700"/>
      <c r="T6" s="3720"/>
      <c r="U6" s="3721"/>
      <c r="V6" s="3722"/>
      <c r="W6" s="3722"/>
      <c r="X6" s="1351"/>
      <c r="Y6" s="3720"/>
      <c r="Z6" s="3721"/>
      <c r="AA6" s="3694"/>
      <c r="AB6" s="3694"/>
      <c r="AC6" s="3694"/>
    </row>
    <row r="7" spans="1:29" s="108" customFormat="1" ht="15.75" thickBot="1">
      <c r="A7" s="359" t="s">
        <v>1679</v>
      </c>
      <c r="B7" s="360"/>
      <c r="C7" s="361">
        <f>'数据-取费表'!B2</f>
        <v>44970</v>
      </c>
      <c r="D7" s="362">
        <v>100</v>
      </c>
      <c r="E7" s="363"/>
      <c r="F7" s="364">
        <f>SUMIF(52:52,YEAR(E7)&amp;"-"&amp;MONTH(E7),53:53)</f>
        <v>0</v>
      </c>
      <c r="G7" s="363"/>
      <c r="H7" s="362">
        <f>SUMIF(52:52,YEAR(G7)&amp;"-"&amp;MONTH(G7),53:53)</f>
        <v>0</v>
      </c>
      <c r="I7" s="363"/>
      <c r="J7" s="362">
        <f>SUMIF(52:52,YEAR(I7)&amp;"-"&amp;MONTH(I7),53:53)</f>
        <v>0</v>
      </c>
      <c r="K7" s="557"/>
      <c r="L7" s="911"/>
      <c r="M7" s="912"/>
      <c r="N7" s="912"/>
      <c r="O7" s="912"/>
      <c r="P7" s="3695" t="s">
        <v>1680</v>
      </c>
      <c r="Q7" s="3725"/>
      <c r="R7" s="697" t="s">
        <v>14</v>
      </c>
      <c r="S7" s="698">
        <f t="shared" ref="S7:S15" si="0">F7</f>
        <v>0</v>
      </c>
      <c r="T7" s="697" t="s">
        <v>14</v>
      </c>
      <c r="U7" s="698">
        <f t="shared" ref="U7:U15" si="1">H7</f>
        <v>0</v>
      </c>
      <c r="V7" s="697" t="s">
        <v>14</v>
      </c>
      <c r="W7" s="698">
        <f t="shared" ref="W7:W15" si="2">J7</f>
        <v>0</v>
      </c>
      <c r="X7" s="699"/>
      <c r="Y7" s="3695" t="s">
        <v>1680</v>
      </c>
      <c r="Z7" s="3696"/>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695" t="s">
        <v>1683</v>
      </c>
      <c r="Q8" s="3696"/>
      <c r="R8" s="697" t="s">
        <v>14</v>
      </c>
      <c r="S8" s="698">
        <f t="shared" si="0"/>
        <v>100</v>
      </c>
      <c r="T8" s="697" t="s">
        <v>14</v>
      </c>
      <c r="U8" s="698">
        <f t="shared" si="1"/>
        <v>100</v>
      </c>
      <c r="V8" s="697" t="s">
        <v>14</v>
      </c>
      <c r="W8" s="698">
        <f t="shared" si="2"/>
        <v>100</v>
      </c>
      <c r="X8" s="699"/>
      <c r="Y8" s="3695" t="s">
        <v>1683</v>
      </c>
      <c r="Z8" s="3696"/>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09" t="s">
        <v>1686</v>
      </c>
      <c r="Q9" s="1339" t="str">
        <f t="shared" ref="Q9:Q15" si="6">B9</f>
        <v>用途</v>
      </c>
      <c r="R9" s="697" t="s">
        <v>14</v>
      </c>
      <c r="S9" s="698">
        <f t="shared" si="0"/>
        <v>100</v>
      </c>
      <c r="T9" s="697" t="s">
        <v>14</v>
      </c>
      <c r="U9" s="698">
        <f t="shared" si="1"/>
        <v>100</v>
      </c>
      <c r="V9" s="697" t="s">
        <v>14</v>
      </c>
      <c r="W9" s="698">
        <f t="shared" si="2"/>
        <v>100</v>
      </c>
      <c r="X9" s="699"/>
      <c r="Y9" s="3660"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6"/>
      <c r="F10" s="125">
        <f>SUMIF(59:59,E10,60:60)-SUMIF(59:59,C10,60:60)+100</f>
        <v>100</v>
      </c>
      <c r="G10" s="3427"/>
      <c r="H10" s="125">
        <f>SUMIF(59:59,G10,60:60)-SUMIF(59:59,C10,60:60)+100</f>
        <v>100</v>
      </c>
      <c r="I10" s="3426"/>
      <c r="J10" s="125">
        <f>SUMIF(59:59,I10,60:60)-SUMIF(59:59,C10,60:60)+100</f>
        <v>100</v>
      </c>
      <c r="K10" s="557"/>
      <c r="L10" s="914"/>
      <c r="M10" s="915"/>
      <c r="N10" s="915"/>
      <c r="O10" s="916"/>
      <c r="P10" s="3709"/>
      <c r="Q10" s="1339" t="str">
        <f t="shared" si="6"/>
        <v>土地使用年限（年）</v>
      </c>
      <c r="R10" s="697" t="s">
        <v>14</v>
      </c>
      <c r="S10" s="698">
        <f t="shared" si="0"/>
        <v>100</v>
      </c>
      <c r="T10" s="697" t="s">
        <v>14</v>
      </c>
      <c r="U10" s="698">
        <f t="shared" si="1"/>
        <v>100</v>
      </c>
      <c r="V10" s="697" t="s">
        <v>14</v>
      </c>
      <c r="W10" s="698">
        <f t="shared" si="2"/>
        <v>100</v>
      </c>
      <c r="X10" s="699"/>
      <c r="Y10" s="3660"/>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09"/>
      <c r="Q11" s="1339" t="str">
        <f t="shared" si="6"/>
        <v>容积率</v>
      </c>
      <c r="R11" s="697" t="s">
        <v>14</v>
      </c>
      <c r="S11" s="698">
        <f t="shared" si="0"/>
        <v>100</v>
      </c>
      <c r="T11" s="697" t="s">
        <v>14</v>
      </c>
      <c r="U11" s="698">
        <f t="shared" si="1"/>
        <v>100</v>
      </c>
      <c r="V11" s="697" t="s">
        <v>14</v>
      </c>
      <c r="W11" s="698">
        <f t="shared" si="2"/>
        <v>100</v>
      </c>
      <c r="X11" s="699"/>
      <c r="Y11" s="3660"/>
      <c r="Z11" s="52" t="str">
        <f t="shared" si="7"/>
        <v>容积率</v>
      </c>
      <c r="AA11" s="700">
        <f t="shared" si="3"/>
        <v>1</v>
      </c>
      <c r="AB11" s="700">
        <f t="shared" si="4"/>
        <v>1</v>
      </c>
      <c r="AC11" s="700">
        <f t="shared" si="5"/>
        <v>1</v>
      </c>
    </row>
    <row r="12" spans="1:29" s="108" customFormat="1" ht="15">
      <c r="A12" s="379"/>
      <c r="B12" s="1888">
        <v>111</v>
      </c>
      <c r="C12" s="380"/>
      <c r="D12" s="381">
        <v>100</v>
      </c>
      <c r="E12" s="382"/>
      <c r="F12" s="125">
        <f>SUMIF(64:64,E12,65:65)-SUMIF(64:64,C12,65:65)+100</f>
        <v>100</v>
      </c>
      <c r="G12" s="1963"/>
      <c r="H12" s="125">
        <f>SUMIF(64:64,G12,65:65)-SUMIF(64:64,C12,65:65)+100</f>
        <v>100</v>
      </c>
      <c r="I12" s="417"/>
      <c r="J12" s="125">
        <f>SUMIF(64:64,I12,65:65)-SUMIF(64:64,C12,65:65)+100</f>
        <v>100</v>
      </c>
      <c r="K12" s="559"/>
      <c r="L12" s="911"/>
      <c r="M12" s="912"/>
      <c r="N12" s="912"/>
      <c r="O12" s="913"/>
      <c r="P12" s="3709"/>
      <c r="Q12" s="1339">
        <f t="shared" si="6"/>
        <v>111</v>
      </c>
      <c r="R12" s="697" t="s">
        <v>14</v>
      </c>
      <c r="S12" s="698">
        <f t="shared" si="0"/>
        <v>100</v>
      </c>
      <c r="T12" s="697" t="s">
        <v>14</v>
      </c>
      <c r="U12" s="698">
        <f t="shared" si="1"/>
        <v>100</v>
      </c>
      <c r="V12" s="697" t="s">
        <v>14</v>
      </c>
      <c r="W12" s="698">
        <f t="shared" si="2"/>
        <v>100</v>
      </c>
      <c r="X12" s="699"/>
      <c r="Y12" s="3660"/>
      <c r="Z12" s="52">
        <f t="shared" si="7"/>
        <v>111</v>
      </c>
      <c r="AA12" s="700">
        <f>D12/F12</f>
        <v>1</v>
      </c>
      <c r="AB12" s="700">
        <f>D12/H12</f>
        <v>1</v>
      </c>
      <c r="AC12" s="700">
        <f>D12/J12</f>
        <v>1</v>
      </c>
    </row>
    <row r="13" spans="1:29" ht="15">
      <c r="A13" s="376"/>
      <c r="B13" s="1888">
        <v>111</v>
      </c>
      <c r="C13" s="382"/>
      <c r="D13" s="383">
        <v>100</v>
      </c>
      <c r="E13" s="382"/>
      <c r="F13" s="125">
        <f>SUMIF(66:66,E13,67:67)-SUMIF(66:66,C13,67:67)+100</f>
        <v>100</v>
      </c>
      <c r="G13" s="1963"/>
      <c r="H13" s="383">
        <f>SUMIF(66:66,G13,67:67)-SUMIF(66:66,C13,67:67)+100</f>
        <v>100</v>
      </c>
      <c r="I13" s="417"/>
      <c r="J13" s="383">
        <f>SUMIF(66:66,I13,67:67)-SUMIF(66:66,C13,67:67)+100</f>
        <v>100</v>
      </c>
      <c r="K13" s="559"/>
      <c r="L13" s="919"/>
      <c r="M13" s="910"/>
      <c r="N13" s="910"/>
      <c r="O13" s="918"/>
      <c r="P13" s="3709"/>
      <c r="Q13" s="1339">
        <f t="shared" si="6"/>
        <v>111</v>
      </c>
      <c r="R13" s="697" t="s">
        <v>14</v>
      </c>
      <c r="S13" s="698">
        <f t="shared" si="0"/>
        <v>100</v>
      </c>
      <c r="T13" s="697" t="s">
        <v>14</v>
      </c>
      <c r="U13" s="698">
        <f t="shared" si="1"/>
        <v>100</v>
      </c>
      <c r="V13" s="697" t="s">
        <v>14</v>
      </c>
      <c r="W13" s="698">
        <f t="shared" si="2"/>
        <v>100</v>
      </c>
      <c r="X13" s="699"/>
      <c r="Y13" s="3660"/>
      <c r="Z13" s="52">
        <f t="shared" si="7"/>
        <v>111</v>
      </c>
      <c r="AA13" s="700">
        <f t="shared" si="3"/>
        <v>1</v>
      </c>
      <c r="AB13" s="700">
        <f t="shared" si="4"/>
        <v>1</v>
      </c>
      <c r="AC13" s="700">
        <f t="shared" si="5"/>
        <v>1</v>
      </c>
    </row>
    <row r="14" spans="1:29" ht="15.75" thickBot="1">
      <c r="A14" s="384"/>
      <c r="B14" s="1890">
        <v>111</v>
      </c>
      <c r="C14" s="385"/>
      <c r="D14" s="386">
        <v>100</v>
      </c>
      <c r="E14" s="385"/>
      <c r="F14" s="386">
        <f>SUMIF(68:68,E14,69:69)-SUMIF(68:68,C14,69:69)+100</f>
        <v>100</v>
      </c>
      <c r="G14" s="1963"/>
      <c r="H14" s="386">
        <f>SUMIF(68:68,G14,69:69)-SUMIF(68:68,C14,69:69)+100</f>
        <v>100</v>
      </c>
      <c r="I14" s="417"/>
      <c r="J14" s="386">
        <f>SUMIF(68:68,I14,69:69)-SUMIF(68:68,C14,69:69)+100</f>
        <v>100</v>
      </c>
      <c r="K14" s="559"/>
      <c r="L14" s="919"/>
      <c r="M14" s="910"/>
      <c r="N14" s="910"/>
      <c r="O14" s="918"/>
      <c r="P14" s="3709"/>
      <c r="Q14" s="1339">
        <f t="shared" si="6"/>
        <v>111</v>
      </c>
      <c r="R14" s="697" t="s">
        <v>14</v>
      </c>
      <c r="S14" s="698">
        <f t="shared" si="0"/>
        <v>100</v>
      </c>
      <c r="T14" s="697" t="s">
        <v>14</v>
      </c>
      <c r="U14" s="698">
        <f t="shared" si="1"/>
        <v>100</v>
      </c>
      <c r="V14" s="697" t="s">
        <v>14</v>
      </c>
      <c r="W14" s="698">
        <f t="shared" si="2"/>
        <v>100</v>
      </c>
      <c r="X14" s="699"/>
      <c r="Y14" s="3660"/>
      <c r="Z14" s="52">
        <f t="shared" si="7"/>
        <v>111</v>
      </c>
      <c r="AA14" s="700">
        <f t="shared" si="3"/>
        <v>1</v>
      </c>
      <c r="AB14" s="700">
        <f t="shared" si="4"/>
        <v>1</v>
      </c>
      <c r="AC14" s="700">
        <f t="shared" si="5"/>
        <v>1</v>
      </c>
    </row>
    <row r="15" spans="1:29" ht="57">
      <c r="A15" s="388" t="s">
        <v>1690</v>
      </c>
      <c r="B15" s="61" t="s">
        <v>1827</v>
      </c>
      <c r="C15" s="1964"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26" t="s">
        <v>1691</v>
      </c>
      <c r="Q15" s="1348" t="str">
        <f t="shared" si="6"/>
        <v>产业集聚程度</v>
      </c>
      <c r="R15" s="701" t="s">
        <v>14</v>
      </c>
      <c r="S15" s="702">
        <f t="shared" si="0"/>
        <v>100</v>
      </c>
      <c r="T15" s="701" t="s">
        <v>14</v>
      </c>
      <c r="U15" s="702">
        <f t="shared" si="1"/>
        <v>100</v>
      </c>
      <c r="V15" s="701" t="s">
        <v>14</v>
      </c>
      <c r="W15" s="702">
        <f t="shared" si="2"/>
        <v>100</v>
      </c>
      <c r="X15" s="1351"/>
      <c r="Y15" s="3726"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27"/>
      <c r="Q16" s="1348"/>
      <c r="R16" s="701"/>
      <c r="S16" s="702"/>
      <c r="T16" s="701"/>
      <c r="U16" s="702"/>
      <c r="V16" s="701"/>
      <c r="W16" s="702"/>
      <c r="X16" s="1351"/>
      <c r="Y16" s="3727"/>
      <c r="Z16" s="1352"/>
      <c r="AA16" s="1349">
        <v>1</v>
      </c>
      <c r="AB16" s="1349">
        <v>1</v>
      </c>
      <c r="AC16" s="1349">
        <v>1</v>
      </c>
    </row>
    <row r="17" spans="1:29" ht="85.5">
      <c r="A17" s="376"/>
      <c r="B17" s="399" t="s">
        <v>1259</v>
      </c>
      <c r="C17" s="1895"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27"/>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919"/>
      <c r="M18" s="910"/>
      <c r="N18" s="910"/>
      <c r="O18" s="918"/>
      <c r="P18" s="3727"/>
      <c r="Q18" s="1348"/>
      <c r="R18" s="701"/>
      <c r="S18" s="702"/>
      <c r="T18" s="701"/>
      <c r="U18" s="702"/>
      <c r="V18" s="701"/>
      <c r="W18" s="702"/>
      <c r="X18" s="1351"/>
      <c r="Y18" s="3727"/>
      <c r="Z18" s="1352"/>
      <c r="AA18" s="1349">
        <v>1</v>
      </c>
      <c r="AB18" s="1349">
        <v>1</v>
      </c>
      <c r="AC18" s="1349">
        <v>1</v>
      </c>
    </row>
    <row r="19" spans="1:29" ht="42.75">
      <c r="A19" s="376"/>
      <c r="B19" s="399" t="s">
        <v>1812</v>
      </c>
      <c r="C19" s="1895"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27"/>
      <c r="Q19" s="1348" t="str">
        <f>B19</f>
        <v>公共配套设施</v>
      </c>
      <c r="R19" s="701" t="s">
        <v>14</v>
      </c>
      <c r="S19" s="702">
        <f>F19</f>
        <v>100</v>
      </c>
      <c r="T19" s="701" t="s">
        <v>14</v>
      </c>
      <c r="U19" s="702">
        <f>H19</f>
        <v>100</v>
      </c>
      <c r="V19" s="701" t="s">
        <v>14</v>
      </c>
      <c r="W19" s="702">
        <f>J19</f>
        <v>100</v>
      </c>
      <c r="X19" s="1351"/>
      <c r="Y19" s="3727"/>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919"/>
      <c r="M20" s="910"/>
      <c r="N20" s="910"/>
      <c r="O20" s="918"/>
      <c r="P20" s="3727"/>
      <c r="Q20" s="1348"/>
      <c r="R20" s="701"/>
      <c r="S20" s="702"/>
      <c r="T20" s="701"/>
      <c r="U20" s="702"/>
      <c r="V20" s="701"/>
      <c r="W20" s="702"/>
      <c r="X20" s="1351"/>
      <c r="Y20" s="3727"/>
      <c r="Z20" s="1352"/>
      <c r="AA20" s="1349">
        <v>1</v>
      </c>
      <c r="AB20" s="1349">
        <v>1</v>
      </c>
      <c r="AC20" s="1349">
        <v>1</v>
      </c>
    </row>
    <row r="21" spans="1:29" ht="28.5">
      <c r="A21" s="376"/>
      <c r="B21" s="1127" t="s">
        <v>1813</v>
      </c>
      <c r="C21" s="1895"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27"/>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919"/>
      <c r="M22" s="910"/>
      <c r="N22" s="910"/>
      <c r="O22" s="918"/>
      <c r="P22" s="3727"/>
      <c r="Q22" s="1348"/>
      <c r="R22" s="701"/>
      <c r="S22" s="702"/>
      <c r="T22" s="701"/>
      <c r="U22" s="702"/>
      <c r="V22" s="701"/>
      <c r="W22" s="702"/>
      <c r="X22" s="1351"/>
      <c r="Y22" s="3727"/>
      <c r="Z22" s="1352"/>
      <c r="AA22" s="1349">
        <v>1</v>
      </c>
      <c r="AB22" s="1349">
        <v>1</v>
      </c>
      <c r="AC22" s="1349">
        <v>1</v>
      </c>
    </row>
    <row r="23" spans="1:29" ht="71.25">
      <c r="A23" s="376"/>
      <c r="B23" s="399" t="s">
        <v>1814</v>
      </c>
      <c r="C23" s="1895"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27"/>
      <c r="Q23" s="1348" t="str">
        <f>B23</f>
        <v>环境质量</v>
      </c>
      <c r="R23" s="701" t="s">
        <v>14</v>
      </c>
      <c r="S23" s="702">
        <f>F23</f>
        <v>100</v>
      </c>
      <c r="T23" s="701" t="s">
        <v>14</v>
      </c>
      <c r="U23" s="702">
        <f>H23</f>
        <v>100</v>
      </c>
      <c r="V23" s="701" t="s">
        <v>14</v>
      </c>
      <c r="W23" s="702">
        <f>J23</f>
        <v>100</v>
      </c>
      <c r="X23" s="1351"/>
      <c r="Y23" s="3727"/>
      <c r="Z23" s="1352" t="str">
        <f>Q23</f>
        <v>环境质量</v>
      </c>
      <c r="AA23" s="1349">
        <f t="shared" si="3"/>
        <v>1</v>
      </c>
      <c r="AB23" s="1349">
        <f t="shared" si="4"/>
        <v>1</v>
      </c>
      <c r="AC23" s="1349">
        <f t="shared" si="5"/>
        <v>1</v>
      </c>
    </row>
    <row r="24" spans="1:29" ht="15">
      <c r="A24" s="376"/>
      <c r="B24" s="1127"/>
      <c r="C24" s="395"/>
      <c r="D24" s="396"/>
      <c r="E24" s="1893"/>
      <c r="F24" s="397"/>
      <c r="G24" s="1892"/>
      <c r="H24" s="396"/>
      <c r="I24" s="1893"/>
      <c r="J24" s="396"/>
      <c r="K24" s="561"/>
      <c r="L24" s="919"/>
      <c r="M24" s="910"/>
      <c r="N24" s="910"/>
      <c r="O24" s="918"/>
      <c r="P24" s="3727"/>
      <c r="Q24" s="1348"/>
      <c r="R24" s="701"/>
      <c r="S24" s="702"/>
      <c r="T24" s="701"/>
      <c r="U24" s="702"/>
      <c r="V24" s="701"/>
      <c r="W24" s="702"/>
      <c r="X24" s="1351"/>
      <c r="Y24" s="3727"/>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27"/>
      <c r="Q25" s="1348">
        <f>B25</f>
        <v>111</v>
      </c>
      <c r="R25" s="701" t="s">
        <v>14</v>
      </c>
      <c r="S25" s="702">
        <f>F25</f>
        <v>100</v>
      </c>
      <c r="T25" s="701" t="s">
        <v>14</v>
      </c>
      <c r="U25" s="702">
        <f>H25</f>
        <v>100</v>
      </c>
      <c r="V25" s="701" t="s">
        <v>14</v>
      </c>
      <c r="W25" s="702">
        <f>J25</f>
        <v>100</v>
      </c>
      <c r="X25" s="1351"/>
      <c r="Y25" s="3727"/>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27"/>
      <c r="Q26" s="1348">
        <f t="shared" ref="Q26:Q40" si="11">B26</f>
        <v>111</v>
      </c>
      <c r="R26" s="701" t="s">
        <v>14</v>
      </c>
      <c r="S26" s="702">
        <f>F26</f>
        <v>100</v>
      </c>
      <c r="T26" s="701" t="s">
        <v>14</v>
      </c>
      <c r="U26" s="702">
        <f>H26</f>
        <v>100</v>
      </c>
      <c r="V26" s="701" t="s">
        <v>14</v>
      </c>
      <c r="W26" s="702">
        <f>J26</f>
        <v>100</v>
      </c>
      <c r="X26" s="1351"/>
      <c r="Y26" s="3727"/>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27"/>
      <c r="Q27" s="1339">
        <f t="shared" si="11"/>
        <v>111</v>
      </c>
      <c r="R27" s="697" t="s">
        <v>14</v>
      </c>
      <c r="S27" s="698">
        <f>F27</f>
        <v>100</v>
      </c>
      <c r="T27" s="697" t="s">
        <v>14</v>
      </c>
      <c r="U27" s="698">
        <f>H27</f>
        <v>100</v>
      </c>
      <c r="V27" s="697" t="s">
        <v>14</v>
      </c>
      <c r="W27" s="698">
        <f>J27</f>
        <v>100</v>
      </c>
      <c r="X27" s="699"/>
      <c r="Y27" s="3727"/>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27"/>
      <c r="Q28" s="1348">
        <f t="shared" si="11"/>
        <v>111</v>
      </c>
      <c r="R28" s="701" t="s">
        <v>14</v>
      </c>
      <c r="S28" s="702">
        <f t="shared" ref="S28:S40" si="12">F28</f>
        <v>100</v>
      </c>
      <c r="T28" s="701" t="s">
        <v>14</v>
      </c>
      <c r="U28" s="702">
        <f t="shared" ref="U28:U40" si="13">H28</f>
        <v>100</v>
      </c>
      <c r="V28" s="701" t="s">
        <v>14</v>
      </c>
      <c r="W28" s="702">
        <f t="shared" ref="W28:W40" si="14">J28</f>
        <v>100</v>
      </c>
      <c r="X28" s="1351"/>
      <c r="Y28" s="3727"/>
      <c r="Z28" s="1352">
        <f t="shared" ref="Z28:Z40" si="15">Q28</f>
        <v>111</v>
      </c>
      <c r="AA28" s="1349">
        <f t="shared" si="3"/>
        <v>1</v>
      </c>
      <c r="AB28" s="1349">
        <f t="shared" si="4"/>
        <v>1</v>
      </c>
      <c r="AC28" s="1349">
        <f t="shared" si="5"/>
        <v>1</v>
      </c>
    </row>
    <row r="29" spans="1:29" ht="15">
      <c r="A29" s="414" t="s">
        <v>1694</v>
      </c>
      <c r="B29" s="63" t="s">
        <v>1817</v>
      </c>
      <c r="C29" s="1960"/>
      <c r="D29" s="415">
        <v>100</v>
      </c>
      <c r="E29" s="1960"/>
      <c r="F29" s="409">
        <f>SUMIF(88:88,E29,89:89)-SUMIF(88:88,C29,89:89)+100</f>
        <v>100</v>
      </c>
      <c r="G29" s="1960"/>
      <c r="H29" s="383">
        <f>SUMIF(88:88,G29,89:89)-SUMIF(88:88,C29,89:89)+100</f>
        <v>100</v>
      </c>
      <c r="I29" s="1960"/>
      <c r="J29" s="415">
        <f>SUMIF(88:88,I29,89:89)-SUMIF(88:88,C29,89:89)+100</f>
        <v>100</v>
      </c>
      <c r="K29" s="558"/>
      <c r="L29" s="919"/>
      <c r="M29" s="910"/>
      <c r="N29" s="910"/>
      <c r="O29" s="918"/>
      <c r="P29" s="3728" t="s">
        <v>1696</v>
      </c>
      <c r="Q29" s="1348" t="str">
        <f t="shared" si="11"/>
        <v>建筑类型</v>
      </c>
      <c r="R29" s="701" t="s">
        <v>14</v>
      </c>
      <c r="S29" s="702">
        <f t="shared" si="12"/>
        <v>100</v>
      </c>
      <c r="T29" s="701" t="s">
        <v>14</v>
      </c>
      <c r="U29" s="702">
        <f t="shared" si="13"/>
        <v>100</v>
      </c>
      <c r="V29" s="701" t="s">
        <v>14</v>
      </c>
      <c r="W29" s="702">
        <f t="shared" si="14"/>
        <v>100</v>
      </c>
      <c r="X29" s="1351"/>
      <c r="Y29" s="3729" t="s">
        <v>1696</v>
      </c>
      <c r="Z29" s="1352" t="str">
        <f t="shared" si="15"/>
        <v>建筑类型</v>
      </c>
      <c r="AA29" s="1349">
        <f t="shared" si="3"/>
        <v>1</v>
      </c>
      <c r="AB29" s="1349">
        <f t="shared" si="4"/>
        <v>1</v>
      </c>
      <c r="AC29" s="1349">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29"/>
      <c r="Q30" s="703" t="str">
        <f t="shared" si="11"/>
        <v>项目建筑规模</v>
      </c>
      <c r="R30" s="704" t="s">
        <v>14</v>
      </c>
      <c r="S30" s="705" t="e">
        <f t="shared" si="12"/>
        <v>#N/A</v>
      </c>
      <c r="T30" s="704" t="s">
        <v>14</v>
      </c>
      <c r="U30" s="705" t="e">
        <f t="shared" si="13"/>
        <v>#N/A</v>
      </c>
      <c r="V30" s="704" t="s">
        <v>14</v>
      </c>
      <c r="W30" s="705" t="e">
        <f t="shared" si="14"/>
        <v>#N/A</v>
      </c>
      <c r="X30" s="706"/>
      <c r="Y30" s="3729"/>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29"/>
      <c r="Q31" s="1348" t="str">
        <f t="shared" si="11"/>
        <v>建筑结构</v>
      </c>
      <c r="R31" s="701" t="s">
        <v>14</v>
      </c>
      <c r="S31" s="702">
        <f t="shared" si="12"/>
        <v>100</v>
      </c>
      <c r="T31" s="701" t="s">
        <v>14</v>
      </c>
      <c r="U31" s="702">
        <f t="shared" si="13"/>
        <v>100</v>
      </c>
      <c r="V31" s="701" t="s">
        <v>14</v>
      </c>
      <c r="W31" s="702">
        <f t="shared" si="14"/>
        <v>100</v>
      </c>
      <c r="X31" s="1351"/>
      <c r="Y31" s="3729"/>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29"/>
      <c r="Q32" s="1348" t="str">
        <f t="shared" si="11"/>
        <v>公共部分装修</v>
      </c>
      <c r="R32" s="701" t="s">
        <v>14</v>
      </c>
      <c r="S32" s="702">
        <f t="shared" si="12"/>
        <v>100</v>
      </c>
      <c r="T32" s="701" t="s">
        <v>14</v>
      </c>
      <c r="U32" s="702">
        <f t="shared" si="13"/>
        <v>100</v>
      </c>
      <c r="V32" s="701" t="s">
        <v>14</v>
      </c>
      <c r="W32" s="702">
        <f t="shared" si="14"/>
        <v>100</v>
      </c>
      <c r="X32" s="1351"/>
      <c r="Y32" s="3729"/>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29"/>
      <c r="Q33" s="1348" t="str">
        <f t="shared" si="11"/>
        <v>成新度</v>
      </c>
      <c r="R33" s="701" t="s">
        <v>14</v>
      </c>
      <c r="S33" s="702" t="e">
        <f t="shared" si="12"/>
        <v>#N/A</v>
      </c>
      <c r="T33" s="701" t="s">
        <v>14</v>
      </c>
      <c r="U33" s="702" t="e">
        <f t="shared" si="13"/>
        <v>#N/A</v>
      </c>
      <c r="V33" s="701" t="s">
        <v>14</v>
      </c>
      <c r="W33" s="702" t="e">
        <f t="shared" si="14"/>
        <v>#N/A</v>
      </c>
      <c r="X33" s="1351"/>
      <c r="Y33" s="3729"/>
      <c r="Z33" s="1352" t="str">
        <f t="shared" si="15"/>
        <v>成新度</v>
      </c>
      <c r="AA33" s="1349" t="e">
        <f t="shared" si="3"/>
        <v>#N/A</v>
      </c>
      <c r="AB33" s="1349" t="e">
        <f t="shared" si="4"/>
        <v>#N/A</v>
      </c>
      <c r="AC33" s="1349"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29"/>
      <c r="Q34" s="1339" t="str">
        <f t="shared" si="11"/>
        <v>物业管理</v>
      </c>
      <c r="R34" s="697" t="s">
        <v>14</v>
      </c>
      <c r="S34" s="698">
        <f t="shared" si="12"/>
        <v>100</v>
      </c>
      <c r="T34" s="697" t="s">
        <v>14</v>
      </c>
      <c r="U34" s="698">
        <f t="shared" si="13"/>
        <v>100</v>
      </c>
      <c r="V34" s="697" t="s">
        <v>14</v>
      </c>
      <c r="W34" s="698">
        <f t="shared" si="14"/>
        <v>100</v>
      </c>
      <c r="X34" s="699"/>
      <c r="Y34" s="3729"/>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29" t="s">
        <v>1696</v>
      </c>
      <c r="Q35" s="1348" t="str">
        <f t="shared" si="11"/>
        <v>市政基础设施</v>
      </c>
      <c r="R35" s="701" t="s">
        <v>14</v>
      </c>
      <c r="S35" s="702">
        <f t="shared" si="12"/>
        <v>100</v>
      </c>
      <c r="T35" s="701" t="s">
        <v>14</v>
      </c>
      <c r="U35" s="702">
        <f t="shared" si="13"/>
        <v>100</v>
      </c>
      <c r="V35" s="701" t="s">
        <v>14</v>
      </c>
      <c r="W35" s="702">
        <f t="shared" si="14"/>
        <v>100</v>
      </c>
      <c r="X35" s="1351"/>
      <c r="Y35" s="3729"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29"/>
      <c r="Q36" s="1348" t="str">
        <f t="shared" si="11"/>
        <v>内部装修</v>
      </c>
      <c r="R36" s="701" t="s">
        <v>14</v>
      </c>
      <c r="S36" s="702">
        <f t="shared" si="12"/>
        <v>100</v>
      </c>
      <c r="T36" s="701" t="s">
        <v>14</v>
      </c>
      <c r="U36" s="702">
        <f t="shared" si="13"/>
        <v>100</v>
      </c>
      <c r="V36" s="701" t="s">
        <v>14</v>
      </c>
      <c r="W36" s="702">
        <f t="shared" si="14"/>
        <v>100</v>
      </c>
      <c r="X36" s="1351"/>
      <c r="Y36" s="3729"/>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29"/>
      <c r="Q37" s="1348" t="str">
        <f t="shared" si="11"/>
        <v>内部装修状况</v>
      </c>
      <c r="R37" s="701" t="s">
        <v>14</v>
      </c>
      <c r="S37" s="702">
        <f t="shared" si="12"/>
        <v>100</v>
      </c>
      <c r="T37" s="701" t="s">
        <v>14</v>
      </c>
      <c r="U37" s="702">
        <f t="shared" si="13"/>
        <v>100</v>
      </c>
      <c r="V37" s="701" t="s">
        <v>14</v>
      </c>
      <c r="W37" s="702">
        <f t="shared" si="14"/>
        <v>100</v>
      </c>
      <c r="X37" s="1351"/>
      <c r="Y37" s="3729"/>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29"/>
      <c r="Q38" s="703">
        <f t="shared" si="11"/>
        <v>111</v>
      </c>
      <c r="R38" s="704" t="s">
        <v>14</v>
      </c>
      <c r="S38" s="705">
        <f t="shared" si="12"/>
        <v>100</v>
      </c>
      <c r="T38" s="704" t="s">
        <v>14</v>
      </c>
      <c r="U38" s="705">
        <f t="shared" si="13"/>
        <v>100</v>
      </c>
      <c r="V38" s="704" t="s">
        <v>14</v>
      </c>
      <c r="W38" s="705">
        <f t="shared" si="14"/>
        <v>100</v>
      </c>
      <c r="X38" s="706"/>
      <c r="Y38" s="3729"/>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29"/>
      <c r="Q39" s="1348">
        <f t="shared" si="11"/>
        <v>111</v>
      </c>
      <c r="R39" s="701" t="s">
        <v>14</v>
      </c>
      <c r="S39" s="702">
        <f t="shared" si="12"/>
        <v>100</v>
      </c>
      <c r="T39" s="701" t="s">
        <v>14</v>
      </c>
      <c r="U39" s="702">
        <f t="shared" si="13"/>
        <v>100</v>
      </c>
      <c r="V39" s="701" t="s">
        <v>14</v>
      </c>
      <c r="W39" s="702">
        <f t="shared" si="14"/>
        <v>100</v>
      </c>
      <c r="X39" s="1351"/>
      <c r="Y39" s="3729"/>
      <c r="Z39" s="1352">
        <f t="shared" si="15"/>
        <v>111</v>
      </c>
      <c r="AA39" s="1349">
        <f t="shared" si="3"/>
        <v>1</v>
      </c>
      <c r="AB39" s="1349">
        <f t="shared" si="4"/>
        <v>1</v>
      </c>
      <c r="AC39" s="1349">
        <f t="shared" si="5"/>
        <v>1</v>
      </c>
    </row>
    <row r="40" spans="1:29" ht="15.75" thickBot="1">
      <c r="A40" s="426"/>
      <c r="B40" s="1890">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81"/>
      <c r="Q40" s="1348">
        <f t="shared" si="11"/>
        <v>111</v>
      </c>
      <c r="R40" s="701" t="s">
        <v>14</v>
      </c>
      <c r="S40" s="702">
        <f t="shared" si="12"/>
        <v>100</v>
      </c>
      <c r="T40" s="701" t="s">
        <v>14</v>
      </c>
      <c r="U40" s="702">
        <f t="shared" si="13"/>
        <v>100</v>
      </c>
      <c r="V40" s="701" t="s">
        <v>14</v>
      </c>
      <c r="W40" s="702">
        <f t="shared" si="14"/>
        <v>100</v>
      </c>
      <c r="X40" s="1351"/>
      <c r="Y40" s="3781"/>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09" t="str">
        <f>A41</f>
        <v>成交单价（元/平方米）</v>
      </c>
      <c r="Q41" s="3709"/>
      <c r="R41" s="3777">
        <f>E41</f>
        <v>0</v>
      </c>
      <c r="S41" s="3777"/>
      <c r="T41" s="3777">
        <f>G41</f>
        <v>0</v>
      </c>
      <c r="U41" s="3777"/>
      <c r="V41" s="3777">
        <f>I41</f>
        <v>0</v>
      </c>
      <c r="W41" s="3777"/>
      <c r="X41" s="686"/>
      <c r="Y41" s="708"/>
      <c r="Z41" s="686"/>
      <c r="AA41" s="686"/>
      <c r="AB41" s="686"/>
      <c r="AC41" s="686"/>
    </row>
    <row r="42" spans="1:29" ht="15.75" thickBot="1">
      <c r="A42" s="434" t="s">
        <v>1793</v>
      </c>
      <c r="B42" s="435"/>
      <c r="C42" s="1156" t="e">
        <f>R43</f>
        <v>#DIV/0!</v>
      </c>
      <c r="D42" s="2310" t="s">
        <v>2138</v>
      </c>
      <c r="E42" s="1157" t="e">
        <f>R42</f>
        <v>#DIV/0!</v>
      </c>
      <c r="F42" s="2311"/>
      <c r="G42" s="1156" t="e">
        <f>T42</f>
        <v>#DIV/0!</v>
      </c>
      <c r="H42" s="2311"/>
      <c r="I42" s="1157" t="e">
        <f>V42</f>
        <v>#DIV/0!</v>
      </c>
      <c r="J42" s="2311"/>
      <c r="K42" s="2313">
        <f>F42+H42+J42</f>
        <v>0</v>
      </c>
      <c r="L42" s="922"/>
      <c r="M42" s="923"/>
      <c r="N42" s="910"/>
      <c r="O42" s="923"/>
      <c r="P42" s="3709" t="str">
        <f>A42</f>
        <v>比较价值（元/平方米）</v>
      </c>
      <c r="Q42" s="3709"/>
      <c r="R42" s="3777" t="e">
        <f>IF(F1="售价",ROUND(PRODUCT(R41,AA7:AA40),0),ROUND(PRODUCT(R41,AA7:AA40),1))</f>
        <v>#DIV/0!</v>
      </c>
      <c r="S42" s="3777"/>
      <c r="T42" s="3777" t="e">
        <f>IF(F1="售价",ROUND(PRODUCT(T41,AB7:AB40),0),ROUND(PRODUCT(T41,AB7:AB40),1))</f>
        <v>#DIV/0!</v>
      </c>
      <c r="U42" s="3777"/>
      <c r="V42" s="3777" t="e">
        <f>IF(F1="售价",ROUND(PRODUCT(V41,AC7:AC40),0),ROUND(PRODUCT(V41,AC7:AC40),1))</f>
        <v>#DIV/0!</v>
      </c>
      <c r="W42" s="3777"/>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31" t="str">
        <f>A43</f>
        <v>估价对象XX用房的比较价值（楼面单价，元/平方米）</v>
      </c>
      <c r="Q43" s="3732"/>
      <c r="R43" s="3776" t="e">
        <f>IF(F1="售价",ROUND(IF(D42="简单平均",AVERAGE(R42:V42),R42*F42+T42*H42+V42*J42),0),ROUND(IF(D42="简单平均",AVERAGE(R42:V42),R42*F42+T42*H42+V42*J42),1))</f>
        <v>#DIV/0!</v>
      </c>
      <c r="S43" s="3776"/>
      <c r="T43" s="3776"/>
      <c r="U43" s="3776"/>
      <c r="V43" s="3776"/>
      <c r="W43" s="3776"/>
      <c r="X43" s="686"/>
      <c r="Y43" s="686"/>
      <c r="Z43" s="686"/>
      <c r="AA43" s="686"/>
      <c r="AB43" s="686"/>
      <c r="AC43" s="686"/>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5"/>
      <c r="M46" s="923"/>
      <c r="N46" s="923"/>
      <c r="O46" s="923"/>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5"/>
      <c r="M47" s="923"/>
      <c r="N47" s="923"/>
      <c r="O47" s="923"/>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6"/>
      <c r="M48" s="924"/>
      <c r="N48" s="924"/>
      <c r="O48" s="924"/>
    </row>
    <row r="49" spans="1:17" s="448"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2023-2</v>
      </c>
      <c r="D52" s="1181">
        <f>EDATE(C52,-1)</f>
        <v>44927</v>
      </c>
      <c r="E52" s="1181">
        <f t="shared" ref="E52:O52" si="16">EDATE(D52,-1)</f>
        <v>44896</v>
      </c>
      <c r="F52" s="1181">
        <f t="shared" si="16"/>
        <v>44866</v>
      </c>
      <c r="G52" s="1181">
        <f t="shared" si="16"/>
        <v>44835</v>
      </c>
      <c r="H52" s="1181">
        <f t="shared" si="16"/>
        <v>44805</v>
      </c>
      <c r="I52" s="1181">
        <f t="shared" si="16"/>
        <v>44774</v>
      </c>
      <c r="J52" s="1181">
        <f t="shared" si="16"/>
        <v>44743</v>
      </c>
      <c r="K52" s="1181">
        <f t="shared" si="16"/>
        <v>44713</v>
      </c>
      <c r="L52" s="1181">
        <f t="shared" si="16"/>
        <v>44682</v>
      </c>
      <c r="M52" s="1181">
        <f t="shared" si="16"/>
        <v>44652</v>
      </c>
      <c r="N52" s="1181">
        <f t="shared" si="16"/>
        <v>44621</v>
      </c>
      <c r="O52" s="1181">
        <f t="shared" si="16"/>
        <v>44593</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1"/>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1"/>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3337</v>
      </c>
      <c r="C1" s="1220" t="s">
        <v>1662</v>
      </c>
      <c r="D1" s="1221"/>
      <c r="E1" s="3425"/>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5"/>
      <c r="R3" s="695"/>
      <c r="S3" s="695"/>
      <c r="T3" s="695"/>
      <c r="U3" s="695"/>
      <c r="V3" s="695"/>
      <c r="W3" s="695"/>
      <c r="X3" s="695"/>
      <c r="Y3" s="695"/>
      <c r="Z3" s="695"/>
      <c r="AA3" s="695"/>
      <c r="AB3" s="712"/>
      <c r="AC3" s="709"/>
    </row>
    <row r="4" spans="1:29" ht="15">
      <c r="A4" s="352" t="s">
        <v>1769</v>
      </c>
      <c r="B4" s="353"/>
      <c r="C4" s="3710" t="s">
        <v>1770</v>
      </c>
      <c r="D4" s="3711"/>
      <c r="E4" s="3712" t="s">
        <v>1771</v>
      </c>
      <c r="F4" s="3713"/>
      <c r="G4" s="3710" t="s">
        <v>1772</v>
      </c>
      <c r="H4" s="3711"/>
      <c r="I4" s="3710" t="s">
        <v>1773</v>
      </c>
      <c r="J4" s="3711"/>
      <c r="K4" s="556" t="s">
        <v>1774</v>
      </c>
      <c r="L4" s="2707"/>
      <c r="M4" s="2708"/>
      <c r="N4" s="2708"/>
      <c r="O4" s="2708"/>
      <c r="P4" s="3714" t="s">
        <v>1775</v>
      </c>
      <c r="Q4" s="3715"/>
      <c r="R4" s="3697" t="s">
        <v>1771</v>
      </c>
      <c r="S4" s="3698"/>
      <c r="T4" s="3697" t="s">
        <v>1772</v>
      </c>
      <c r="U4" s="3698"/>
      <c r="V4" s="3722" t="s">
        <v>1773</v>
      </c>
      <c r="W4" s="3722"/>
      <c r="X4" s="1351"/>
      <c r="Y4" s="3697" t="s">
        <v>1775</v>
      </c>
      <c r="Z4" s="3698"/>
      <c r="AA4" s="3692" t="s">
        <v>1771</v>
      </c>
      <c r="AB4" s="3693" t="s">
        <v>1772</v>
      </c>
      <c r="AC4" s="3692" t="s">
        <v>1773</v>
      </c>
    </row>
    <row r="5" spans="1:29" ht="15">
      <c r="A5" s="355"/>
      <c r="B5" s="356"/>
      <c r="C5" s="3794" t="s">
        <v>1673</v>
      </c>
      <c r="D5" s="3795"/>
      <c r="E5" s="3792" t="s">
        <v>1674</v>
      </c>
      <c r="F5" s="3793"/>
      <c r="G5" s="3794" t="s">
        <v>1675</v>
      </c>
      <c r="H5" s="3795"/>
      <c r="I5" s="3794" t="s">
        <v>1676</v>
      </c>
      <c r="J5" s="3795"/>
      <c r="K5" s="556"/>
      <c r="L5" s="2707"/>
      <c r="M5" s="2708"/>
      <c r="N5" s="2708"/>
      <c r="O5" s="2708"/>
      <c r="P5" s="3716"/>
      <c r="Q5" s="3717"/>
      <c r="R5" s="3699"/>
      <c r="S5" s="3700"/>
      <c r="T5" s="3699"/>
      <c r="U5" s="3700"/>
      <c r="V5" s="3722"/>
      <c r="W5" s="3722"/>
      <c r="X5" s="1351"/>
      <c r="Y5" s="3699"/>
      <c r="Z5" s="3700"/>
      <c r="AA5" s="3693"/>
      <c r="AB5" s="3693"/>
      <c r="AC5" s="3693"/>
    </row>
    <row r="6" spans="1:29" ht="15.75" thickBot="1">
      <c r="A6" s="357"/>
      <c r="B6" s="358"/>
      <c r="C6" s="3705" t="s">
        <v>1677</v>
      </c>
      <c r="D6" s="3706"/>
      <c r="E6" s="3796" t="s">
        <v>1677</v>
      </c>
      <c r="F6" s="3797"/>
      <c r="G6" s="3705" t="s">
        <v>1677</v>
      </c>
      <c r="H6" s="3706"/>
      <c r="I6" s="3705" t="s">
        <v>1677</v>
      </c>
      <c r="J6" s="3706"/>
      <c r="K6" s="556" t="s">
        <v>1678</v>
      </c>
      <c r="L6" s="2707"/>
      <c r="M6" s="2708"/>
      <c r="N6" s="2708"/>
      <c r="O6" s="2708"/>
      <c r="P6" s="3718"/>
      <c r="Q6" s="3719"/>
      <c r="R6" s="3699"/>
      <c r="S6" s="3700"/>
      <c r="T6" s="3720"/>
      <c r="U6" s="3721"/>
      <c r="V6" s="3722"/>
      <c r="W6" s="3722"/>
      <c r="X6" s="1351"/>
      <c r="Y6" s="3720"/>
      <c r="Z6" s="3721"/>
      <c r="AA6" s="3694"/>
      <c r="AB6" s="3694"/>
      <c r="AC6" s="3694"/>
    </row>
    <row r="7" spans="1:29" s="108" customFormat="1" ht="15.75" thickBot="1">
      <c r="A7" s="359" t="s">
        <v>1679</v>
      </c>
      <c r="B7" s="360"/>
      <c r="C7" s="361">
        <f>'数据-取费表'!B2</f>
        <v>44970</v>
      </c>
      <c r="D7" s="362">
        <v>100</v>
      </c>
      <c r="E7" s="363"/>
      <c r="F7" s="364">
        <f>SUMIF(48:48,YEAR(E7)&amp;"-"&amp;MONTH(E7),49:49)</f>
        <v>0</v>
      </c>
      <c r="G7" s="363"/>
      <c r="H7" s="362">
        <f>SUMIF(48:48,YEAR(G7)&amp;"-"&amp;MONTH(G7),49:49)</f>
        <v>0</v>
      </c>
      <c r="I7" s="363"/>
      <c r="J7" s="362">
        <f>SUMIF(48:48,YEAR(I7)&amp;"-"&amp;MONTH(I7),49:49)</f>
        <v>0</v>
      </c>
      <c r="K7" s="557"/>
      <c r="L7" s="2709"/>
      <c r="M7" s="2710"/>
      <c r="N7" s="2710"/>
      <c r="O7" s="2710"/>
      <c r="P7" s="3695" t="s">
        <v>1680</v>
      </c>
      <c r="Q7" s="3725"/>
      <c r="R7" s="697" t="s">
        <v>14</v>
      </c>
      <c r="S7" s="698">
        <f t="shared" ref="S7:S14" si="0">F7</f>
        <v>0</v>
      </c>
      <c r="T7" s="697" t="s">
        <v>14</v>
      </c>
      <c r="U7" s="698">
        <f t="shared" ref="U7:U14" si="1">H7</f>
        <v>0</v>
      </c>
      <c r="V7" s="697" t="s">
        <v>14</v>
      </c>
      <c r="W7" s="698">
        <f t="shared" ref="W7:W14" si="2">J7</f>
        <v>0</v>
      </c>
      <c r="X7" s="699"/>
      <c r="Y7" s="3695" t="s">
        <v>1680</v>
      </c>
      <c r="Z7" s="3696"/>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695" t="s">
        <v>1683</v>
      </c>
      <c r="Q8" s="3696"/>
      <c r="R8" s="697" t="s">
        <v>14</v>
      </c>
      <c r="S8" s="698">
        <f t="shared" si="0"/>
        <v>100</v>
      </c>
      <c r="T8" s="697" t="s">
        <v>14</v>
      </c>
      <c r="U8" s="698">
        <f t="shared" si="1"/>
        <v>100</v>
      </c>
      <c r="V8" s="697" t="s">
        <v>14</v>
      </c>
      <c r="W8" s="698">
        <f t="shared" si="2"/>
        <v>100</v>
      </c>
      <c r="X8" s="699"/>
      <c r="Y8" s="3695" t="s">
        <v>1683</v>
      </c>
      <c r="Z8" s="3696"/>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9"/>
      <c r="M9" s="2710"/>
      <c r="N9" s="2710"/>
      <c r="O9" s="2710"/>
      <c r="P9" s="3709" t="s">
        <v>1686</v>
      </c>
      <c r="Q9" s="1339" t="str">
        <f t="shared" ref="Q9:Q14" si="6">B9</f>
        <v>用途</v>
      </c>
      <c r="R9" s="697" t="s">
        <v>14</v>
      </c>
      <c r="S9" s="698">
        <f t="shared" si="0"/>
        <v>100</v>
      </c>
      <c r="T9" s="697" t="s">
        <v>14</v>
      </c>
      <c r="U9" s="698">
        <f t="shared" si="1"/>
        <v>100</v>
      </c>
      <c r="V9" s="697" t="s">
        <v>14</v>
      </c>
      <c r="W9" s="698">
        <f t="shared" si="2"/>
        <v>100</v>
      </c>
      <c r="X9" s="699"/>
      <c r="Y9" s="3660" t="s">
        <v>1687</v>
      </c>
      <c r="Z9" s="52" t="str">
        <f t="shared" ref="Z9:Z14" si="7">Q9</f>
        <v>用途</v>
      </c>
      <c r="AA9" s="700">
        <f t="shared" si="3"/>
        <v>1</v>
      </c>
      <c r="AB9" s="700">
        <f t="shared" si="4"/>
        <v>1</v>
      </c>
      <c r="AC9" s="700">
        <f t="shared" si="5"/>
        <v>1</v>
      </c>
    </row>
    <row r="10" spans="1:29" s="375" customFormat="1" ht="27">
      <c r="A10" s="586"/>
      <c r="B10" s="587" t="s">
        <v>1688</v>
      </c>
      <c r="C10" s="3426"/>
      <c r="D10" s="125">
        <v>100</v>
      </c>
      <c r="E10" s="3426"/>
      <c r="F10" s="125">
        <f>SUMIF(55:55,E10,56:56)-SUMIF(55:55,C10,56:56)+100</f>
        <v>100</v>
      </c>
      <c r="G10" s="3427"/>
      <c r="H10" s="125">
        <f>SUMIF(55:55,G10,56:56)-SUMIF(55:55,C10,56:56)+100</f>
        <v>100</v>
      </c>
      <c r="I10" s="3426"/>
      <c r="J10" s="125">
        <f>SUMIF(55:55,I10,56:56)-SUMIF(55:55,C10,56:56)+100</f>
        <v>100</v>
      </c>
      <c r="K10" s="557"/>
      <c r="L10" s="2711"/>
      <c r="M10" s="2712"/>
      <c r="N10" s="2712"/>
      <c r="O10" s="2712"/>
      <c r="P10" s="3709"/>
      <c r="Q10" s="1339" t="str">
        <f t="shared" si="6"/>
        <v>土地使用年限（年）</v>
      </c>
      <c r="R10" s="697" t="s">
        <v>14</v>
      </c>
      <c r="S10" s="698">
        <f t="shared" si="0"/>
        <v>100</v>
      </c>
      <c r="T10" s="697" t="s">
        <v>14</v>
      </c>
      <c r="U10" s="698">
        <f t="shared" si="1"/>
        <v>100</v>
      </c>
      <c r="V10" s="697" t="s">
        <v>14</v>
      </c>
      <c r="W10" s="698">
        <f t="shared" si="2"/>
        <v>100</v>
      </c>
      <c r="X10" s="699"/>
      <c r="Y10" s="3660"/>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3"/>
      <c r="M11" s="2708"/>
      <c r="N11" s="2708"/>
      <c r="O11" s="2708"/>
      <c r="P11" s="3709"/>
      <c r="Q11" s="1339">
        <f t="shared" si="6"/>
        <v>111</v>
      </c>
      <c r="R11" s="697" t="s">
        <v>14</v>
      </c>
      <c r="S11" s="698">
        <f t="shared" si="0"/>
        <v>100</v>
      </c>
      <c r="T11" s="697" t="s">
        <v>14</v>
      </c>
      <c r="U11" s="698">
        <f t="shared" si="1"/>
        <v>100</v>
      </c>
      <c r="V11" s="697" t="s">
        <v>14</v>
      </c>
      <c r="W11" s="698">
        <f t="shared" si="2"/>
        <v>100</v>
      </c>
      <c r="X11" s="699"/>
      <c r="Y11" s="3660"/>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9"/>
      <c r="M12" s="2710"/>
      <c r="N12" s="2710"/>
      <c r="O12" s="2710"/>
      <c r="P12" s="3709"/>
      <c r="Q12" s="1339">
        <f t="shared" si="6"/>
        <v>111</v>
      </c>
      <c r="R12" s="697" t="s">
        <v>14</v>
      </c>
      <c r="S12" s="698">
        <f t="shared" si="0"/>
        <v>100</v>
      </c>
      <c r="T12" s="697" t="s">
        <v>14</v>
      </c>
      <c r="U12" s="698">
        <f t="shared" si="1"/>
        <v>100</v>
      </c>
      <c r="V12" s="697" t="s">
        <v>14</v>
      </c>
      <c r="W12" s="698">
        <f t="shared" si="2"/>
        <v>100</v>
      </c>
      <c r="X12" s="699"/>
      <c r="Y12" s="3660"/>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4"/>
      <c r="M13" s="2708"/>
      <c r="N13" s="2708"/>
      <c r="O13" s="2708"/>
      <c r="P13" s="3709"/>
      <c r="Q13" s="1339">
        <f t="shared" si="6"/>
        <v>111</v>
      </c>
      <c r="R13" s="697" t="s">
        <v>14</v>
      </c>
      <c r="S13" s="698">
        <f t="shared" si="0"/>
        <v>100</v>
      </c>
      <c r="T13" s="697" t="s">
        <v>14</v>
      </c>
      <c r="U13" s="698">
        <f t="shared" si="1"/>
        <v>100</v>
      </c>
      <c r="V13" s="697" t="s">
        <v>14</v>
      </c>
      <c r="W13" s="698">
        <f t="shared" si="2"/>
        <v>100</v>
      </c>
      <c r="X13" s="699"/>
      <c r="Y13" s="3660"/>
      <c r="Z13" s="52">
        <f t="shared" si="7"/>
        <v>111</v>
      </c>
      <c r="AA13" s="700">
        <f t="shared" si="3"/>
        <v>1</v>
      </c>
      <c r="AB13" s="700">
        <f t="shared" si="4"/>
        <v>1</v>
      </c>
      <c r="AC13" s="700">
        <f t="shared" si="5"/>
        <v>1</v>
      </c>
    </row>
    <row r="14" spans="1:29" ht="156.75">
      <c r="A14" s="352" t="s">
        <v>1690</v>
      </c>
      <c r="B14" s="574"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26" t="s">
        <v>1691</v>
      </c>
      <c r="Q14" s="1348" t="str">
        <f t="shared" si="6"/>
        <v>交通便捷度</v>
      </c>
      <c r="R14" s="701" t="s">
        <v>14</v>
      </c>
      <c r="S14" s="702">
        <f t="shared" si="0"/>
        <v>100</v>
      </c>
      <c r="T14" s="701" t="s">
        <v>14</v>
      </c>
      <c r="U14" s="702">
        <f t="shared" si="1"/>
        <v>100</v>
      </c>
      <c r="V14" s="701" t="s">
        <v>14</v>
      </c>
      <c r="W14" s="702">
        <f t="shared" si="2"/>
        <v>100</v>
      </c>
      <c r="X14" s="1351"/>
      <c r="Y14" s="3726"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4"/>
      <c r="M15" s="2708"/>
      <c r="N15" s="2708"/>
      <c r="O15" s="2708"/>
      <c r="P15" s="3727"/>
      <c r="Q15" s="1348"/>
      <c r="R15" s="701"/>
      <c r="S15" s="702"/>
      <c r="T15" s="701"/>
      <c r="U15" s="702"/>
      <c r="V15" s="701"/>
      <c r="W15" s="702"/>
      <c r="X15" s="1351"/>
      <c r="Y15" s="3727"/>
      <c r="Z15" s="1352"/>
      <c r="AA15" s="1349">
        <v>1</v>
      </c>
      <c r="AB15" s="1349">
        <v>1</v>
      </c>
      <c r="AC15" s="1349">
        <v>1</v>
      </c>
    </row>
    <row r="16" spans="1:29" ht="142.5">
      <c r="A16" s="355"/>
      <c r="B16" s="576"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27"/>
      <c r="Q16" s="1348" t="str">
        <f>B16</f>
        <v>公共配套设施</v>
      </c>
      <c r="R16" s="701" t="s">
        <v>14</v>
      </c>
      <c r="S16" s="702">
        <f>F16</f>
        <v>100</v>
      </c>
      <c r="T16" s="701" t="s">
        <v>14</v>
      </c>
      <c r="U16" s="702">
        <f>H16</f>
        <v>100</v>
      </c>
      <c r="V16" s="701" t="s">
        <v>14</v>
      </c>
      <c r="W16" s="702">
        <f>J16</f>
        <v>100</v>
      </c>
      <c r="X16" s="1351"/>
      <c r="Y16" s="3727"/>
      <c r="Z16" s="1352" t="str">
        <f>Q16</f>
        <v>公共配套设施</v>
      </c>
      <c r="AA16" s="1349">
        <f t="shared" si="3"/>
        <v>1</v>
      </c>
      <c r="AB16" s="1349">
        <f t="shared" si="4"/>
        <v>1</v>
      </c>
      <c r="AC16" s="1349">
        <f t="shared" si="5"/>
        <v>1</v>
      </c>
    </row>
    <row r="17" spans="1:29" ht="15">
      <c r="A17" s="355"/>
      <c r="B17" s="577"/>
      <c r="C17" s="1896"/>
      <c r="D17" s="396"/>
      <c r="E17" s="395"/>
      <c r="F17" s="397"/>
      <c r="G17" s="395"/>
      <c r="H17" s="396"/>
      <c r="I17" s="395"/>
      <c r="J17" s="396"/>
      <c r="K17" s="561"/>
      <c r="L17" s="2714"/>
      <c r="M17" s="2708"/>
      <c r="N17" s="2708"/>
      <c r="O17" s="2708"/>
      <c r="P17" s="3727"/>
      <c r="Q17" s="1348"/>
      <c r="R17" s="701"/>
      <c r="S17" s="702"/>
      <c r="T17" s="701"/>
      <c r="U17" s="702"/>
      <c r="V17" s="701"/>
      <c r="W17" s="702"/>
      <c r="X17" s="1351"/>
      <c r="Y17" s="3727"/>
      <c r="Z17" s="1352"/>
      <c r="AA17" s="1349">
        <v>1</v>
      </c>
      <c r="AB17" s="1349">
        <v>1</v>
      </c>
      <c r="AC17" s="1349">
        <v>1</v>
      </c>
    </row>
    <row r="18" spans="1:29" ht="42.75">
      <c r="A18" s="355"/>
      <c r="B18" s="578" t="s">
        <v>1813</v>
      </c>
      <c r="C18" s="1895" t="str">
        <f>IF(B1="工业",估价对象房地状况!G6,估价对象房地状况!C8)</f>
        <v>估价对象所在区域基础设施水平-六通</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27"/>
      <c r="Q18" s="1348" t="str">
        <f>B18</f>
        <v>基础设施水平</v>
      </c>
      <c r="R18" s="701" t="s">
        <v>14</v>
      </c>
      <c r="S18" s="702">
        <f>F18</f>
        <v>100</v>
      </c>
      <c r="T18" s="701" t="s">
        <v>14</v>
      </c>
      <c r="U18" s="702">
        <f>H18</f>
        <v>100</v>
      </c>
      <c r="V18" s="701" t="s">
        <v>14</v>
      </c>
      <c r="W18" s="702">
        <f>J18</f>
        <v>100</v>
      </c>
      <c r="X18" s="1351"/>
      <c r="Y18" s="3727"/>
      <c r="Z18" s="1352" t="str">
        <f>Q18</f>
        <v>基础设施水平</v>
      </c>
      <c r="AA18" s="1349">
        <f t="shared" ref="AA18" si="8">D18/F18</f>
        <v>1</v>
      </c>
      <c r="AB18" s="1349">
        <f t="shared" ref="AB18" si="9">D18/H18</f>
        <v>1</v>
      </c>
      <c r="AC18" s="1349">
        <f t="shared" ref="AC18" si="10">D18/J18</f>
        <v>1</v>
      </c>
    </row>
    <row r="19" spans="1:29" ht="15">
      <c r="A19" s="355"/>
      <c r="B19" s="578"/>
      <c r="C19" s="1896"/>
      <c r="D19" s="398"/>
      <c r="E19" s="1896"/>
      <c r="F19" s="401"/>
      <c r="G19" s="1896"/>
      <c r="H19" s="396"/>
      <c r="I19" s="395"/>
      <c r="J19" s="396"/>
      <c r="K19" s="1126"/>
      <c r="L19" s="2714"/>
      <c r="M19" s="2708"/>
      <c r="N19" s="2708"/>
      <c r="O19" s="2708"/>
      <c r="P19" s="3727"/>
      <c r="Q19" s="1348"/>
      <c r="R19" s="701"/>
      <c r="S19" s="702"/>
      <c r="T19" s="701"/>
      <c r="U19" s="702"/>
      <c r="V19" s="701"/>
      <c r="W19" s="702"/>
      <c r="X19" s="1351"/>
      <c r="Y19" s="3727"/>
      <c r="Z19" s="1352"/>
      <c r="AA19" s="1349">
        <v>1</v>
      </c>
      <c r="AB19" s="1349">
        <v>1</v>
      </c>
      <c r="AC19" s="1349">
        <v>1</v>
      </c>
    </row>
    <row r="20" spans="1:29" ht="99.75">
      <c r="A20" s="355"/>
      <c r="B20" s="576" t="s">
        <v>1834</v>
      </c>
      <c r="C20" s="1895" t="str">
        <f>IF(B1="工业",估价对象房地状况!G7,估价对象房地状况!C9)</f>
        <v>周边3公里范围内有南海子公园、志远庄公园等自然景观，人文景观较少，综合评价环境状况一般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27"/>
      <c r="Q20" s="1348" t="str">
        <f>B20</f>
        <v>自然及人文环境</v>
      </c>
      <c r="R20" s="701" t="s">
        <v>14</v>
      </c>
      <c r="S20" s="702">
        <f>F20</f>
        <v>100</v>
      </c>
      <c r="T20" s="701" t="s">
        <v>14</v>
      </c>
      <c r="U20" s="702">
        <f>H20</f>
        <v>100</v>
      </c>
      <c r="V20" s="701" t="s">
        <v>14</v>
      </c>
      <c r="W20" s="702">
        <f>J20</f>
        <v>100</v>
      </c>
      <c r="X20" s="1351"/>
      <c r="Y20" s="3727"/>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4"/>
      <c r="M21" s="2708"/>
      <c r="N21" s="2708"/>
      <c r="O21" s="2708"/>
      <c r="P21" s="3727"/>
      <c r="Q21" s="1348"/>
      <c r="R21" s="701"/>
      <c r="S21" s="702"/>
      <c r="T21" s="701"/>
      <c r="U21" s="702"/>
      <c r="V21" s="701"/>
      <c r="W21" s="702"/>
      <c r="X21" s="1351"/>
      <c r="Y21" s="3727"/>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27"/>
      <c r="Q22" s="1348" t="str">
        <f>B22</f>
        <v>楼层</v>
      </c>
      <c r="R22" s="701" t="s">
        <v>14</v>
      </c>
      <c r="S22" s="702">
        <f>F22</f>
        <v>100</v>
      </c>
      <c r="T22" s="701" t="s">
        <v>14</v>
      </c>
      <c r="U22" s="702">
        <f>H22</f>
        <v>100</v>
      </c>
      <c r="V22" s="701" t="s">
        <v>14</v>
      </c>
      <c r="W22" s="702">
        <f>J22</f>
        <v>100</v>
      </c>
      <c r="X22" s="1351"/>
      <c r="Y22" s="3727"/>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27"/>
      <c r="Q23" s="1348">
        <f>B23</f>
        <v>111</v>
      </c>
      <c r="R23" s="701" t="s">
        <v>14</v>
      </c>
      <c r="S23" s="702">
        <f>F23</f>
        <v>100</v>
      </c>
      <c r="T23" s="701" t="s">
        <v>14</v>
      </c>
      <c r="U23" s="702">
        <f>H23</f>
        <v>100</v>
      </c>
      <c r="V23" s="701" t="s">
        <v>14</v>
      </c>
      <c r="W23" s="702">
        <f>J23</f>
        <v>100</v>
      </c>
      <c r="X23" s="1351"/>
      <c r="Y23" s="3727"/>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27"/>
      <c r="Q24" s="1348">
        <f t="shared" ref="Q24:Q36" si="11">B24</f>
        <v>111</v>
      </c>
      <c r="R24" s="701" t="s">
        <v>14</v>
      </c>
      <c r="S24" s="702">
        <f>F24</f>
        <v>100</v>
      </c>
      <c r="T24" s="701" t="s">
        <v>14</v>
      </c>
      <c r="U24" s="702">
        <f>H24</f>
        <v>100</v>
      </c>
      <c r="V24" s="701" t="s">
        <v>14</v>
      </c>
      <c r="W24" s="702">
        <f>J24</f>
        <v>100</v>
      </c>
      <c r="X24" s="1351"/>
      <c r="Y24" s="3727"/>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27"/>
      <c r="Q25" s="1339">
        <f t="shared" si="11"/>
        <v>111</v>
      </c>
      <c r="R25" s="697" t="s">
        <v>14</v>
      </c>
      <c r="S25" s="698">
        <f>F25</f>
        <v>100</v>
      </c>
      <c r="T25" s="697" t="s">
        <v>14</v>
      </c>
      <c r="U25" s="698">
        <f>H25</f>
        <v>100</v>
      </c>
      <c r="V25" s="697" t="s">
        <v>14</v>
      </c>
      <c r="W25" s="698">
        <f>J25</f>
        <v>100</v>
      </c>
      <c r="X25" s="699"/>
      <c r="Y25" s="3727"/>
      <c r="Z25" s="52">
        <f>Q25</f>
        <v>111</v>
      </c>
      <c r="AA25" s="1349">
        <f>D25/F25</f>
        <v>1</v>
      </c>
      <c r="AB25" s="1349">
        <f>D25/H25</f>
        <v>1</v>
      </c>
      <c r="AC25" s="1349">
        <f>D25/J25</f>
        <v>1</v>
      </c>
    </row>
    <row r="26" spans="1:29" ht="15">
      <c r="A26" s="597" t="s">
        <v>1694</v>
      </c>
      <c r="B26" s="62" t="s">
        <v>1836</v>
      </c>
      <c r="C26" s="1965"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728"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29"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29"/>
      <c r="Q27" s="703" t="str">
        <f t="shared" si="11"/>
        <v>项目停车位配比</v>
      </c>
      <c r="R27" s="704" t="s">
        <v>14</v>
      </c>
      <c r="S27" s="705">
        <f t="shared" si="12"/>
        <v>100</v>
      </c>
      <c r="T27" s="704" t="s">
        <v>14</v>
      </c>
      <c r="U27" s="705">
        <f t="shared" si="13"/>
        <v>100</v>
      </c>
      <c r="V27" s="704" t="s">
        <v>14</v>
      </c>
      <c r="W27" s="705">
        <f t="shared" si="14"/>
        <v>100</v>
      </c>
      <c r="X27" s="706"/>
      <c r="Y27" s="3729"/>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29"/>
      <c r="Q28" s="1348" t="str">
        <f t="shared" si="11"/>
        <v>公共部分装修</v>
      </c>
      <c r="R28" s="701" t="s">
        <v>14</v>
      </c>
      <c r="S28" s="702">
        <f t="shared" si="12"/>
        <v>100</v>
      </c>
      <c r="T28" s="701" t="s">
        <v>14</v>
      </c>
      <c r="U28" s="702">
        <f t="shared" si="13"/>
        <v>100</v>
      </c>
      <c r="V28" s="701" t="s">
        <v>14</v>
      </c>
      <c r="W28" s="702">
        <f t="shared" si="14"/>
        <v>100</v>
      </c>
      <c r="X28" s="1351"/>
      <c r="Y28" s="3729"/>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29"/>
      <c r="Q29" s="1348" t="str">
        <f t="shared" si="11"/>
        <v>成新率</v>
      </c>
      <c r="R29" s="701" t="s">
        <v>14</v>
      </c>
      <c r="S29" s="702" t="e">
        <f t="shared" si="12"/>
        <v>#N/A</v>
      </c>
      <c r="T29" s="701" t="s">
        <v>14</v>
      </c>
      <c r="U29" s="702" t="e">
        <f t="shared" si="13"/>
        <v>#N/A</v>
      </c>
      <c r="V29" s="701" t="s">
        <v>14</v>
      </c>
      <c r="W29" s="702" t="e">
        <f t="shared" si="14"/>
        <v>#N/A</v>
      </c>
      <c r="X29" s="1351"/>
      <c r="Y29" s="3729"/>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29"/>
      <c r="Q30" s="1348" t="str">
        <f t="shared" si="11"/>
        <v>物业等级</v>
      </c>
      <c r="R30" s="701" t="s">
        <v>14</v>
      </c>
      <c r="S30" s="702">
        <f t="shared" si="12"/>
        <v>100</v>
      </c>
      <c r="T30" s="701" t="s">
        <v>14</v>
      </c>
      <c r="U30" s="702">
        <f t="shared" si="13"/>
        <v>100</v>
      </c>
      <c r="V30" s="701" t="s">
        <v>14</v>
      </c>
      <c r="W30" s="702">
        <f t="shared" si="14"/>
        <v>100</v>
      </c>
      <c r="X30" s="1351"/>
      <c r="Y30" s="3729"/>
      <c r="Z30" s="1352" t="str">
        <f t="shared" si="15"/>
        <v>物业等级</v>
      </c>
      <c r="AA30" s="1349">
        <f t="shared" si="3"/>
        <v>1</v>
      </c>
      <c r="AB30" s="1349">
        <f t="shared" si="4"/>
        <v>1</v>
      </c>
      <c r="AC30" s="1349">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29"/>
      <c r="Q31" s="1339" t="str">
        <f t="shared" si="11"/>
        <v>停车位面积</v>
      </c>
      <c r="R31" s="697" t="s">
        <v>14</v>
      </c>
      <c r="S31" s="698" t="e">
        <f t="shared" si="12"/>
        <v>#N/A</v>
      </c>
      <c r="T31" s="697" t="s">
        <v>14</v>
      </c>
      <c r="U31" s="698" t="e">
        <f t="shared" si="13"/>
        <v>#N/A</v>
      </c>
      <c r="V31" s="697" t="s">
        <v>14</v>
      </c>
      <c r="W31" s="698" t="e">
        <f t="shared" si="14"/>
        <v>#N/A</v>
      </c>
      <c r="X31" s="699"/>
      <c r="Y31" s="3729"/>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29" t="s">
        <v>1696</v>
      </c>
      <c r="Q32" s="1348" t="str">
        <f t="shared" si="11"/>
        <v>车位类型</v>
      </c>
      <c r="R32" s="701" t="s">
        <v>14</v>
      </c>
      <c r="S32" s="702">
        <f t="shared" si="12"/>
        <v>100</v>
      </c>
      <c r="T32" s="701" t="s">
        <v>14</v>
      </c>
      <c r="U32" s="702">
        <f t="shared" si="13"/>
        <v>100</v>
      </c>
      <c r="V32" s="701" t="s">
        <v>14</v>
      </c>
      <c r="W32" s="702">
        <f t="shared" si="14"/>
        <v>100</v>
      </c>
      <c r="X32" s="1351"/>
      <c r="Y32" s="3729"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29"/>
      <c r="Q33" s="1348" t="str">
        <f t="shared" si="11"/>
        <v>是否直接入户</v>
      </c>
      <c r="R33" s="701" t="s">
        <v>14</v>
      </c>
      <c r="S33" s="702">
        <f t="shared" si="12"/>
        <v>100</v>
      </c>
      <c r="T33" s="701" t="s">
        <v>14</v>
      </c>
      <c r="U33" s="702">
        <f t="shared" si="13"/>
        <v>100</v>
      </c>
      <c r="V33" s="701" t="s">
        <v>14</v>
      </c>
      <c r="W33" s="702">
        <f t="shared" si="14"/>
        <v>100</v>
      </c>
      <c r="X33" s="1351"/>
      <c r="Y33" s="3729"/>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29"/>
      <c r="Q34" s="1348">
        <f t="shared" si="11"/>
        <v>111</v>
      </c>
      <c r="R34" s="701" t="s">
        <v>14</v>
      </c>
      <c r="S34" s="702">
        <f t="shared" si="12"/>
        <v>100</v>
      </c>
      <c r="T34" s="701" t="s">
        <v>14</v>
      </c>
      <c r="U34" s="702">
        <f t="shared" si="13"/>
        <v>100</v>
      </c>
      <c r="V34" s="701" t="s">
        <v>14</v>
      </c>
      <c r="W34" s="702">
        <f t="shared" si="14"/>
        <v>100</v>
      </c>
      <c r="X34" s="1351"/>
      <c r="Y34" s="3729"/>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29"/>
      <c r="Q35" s="703">
        <f t="shared" si="11"/>
        <v>111</v>
      </c>
      <c r="R35" s="704" t="s">
        <v>14</v>
      </c>
      <c r="S35" s="705">
        <f t="shared" si="12"/>
        <v>100</v>
      </c>
      <c r="T35" s="704" t="s">
        <v>14</v>
      </c>
      <c r="U35" s="705">
        <f t="shared" si="13"/>
        <v>100</v>
      </c>
      <c r="V35" s="704" t="s">
        <v>14</v>
      </c>
      <c r="W35" s="705">
        <f t="shared" si="14"/>
        <v>100</v>
      </c>
      <c r="X35" s="706"/>
      <c r="Y35" s="3729"/>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29"/>
      <c r="Q36" s="1348">
        <f t="shared" si="11"/>
        <v>111</v>
      </c>
      <c r="R36" s="701" t="s">
        <v>14</v>
      </c>
      <c r="S36" s="702">
        <f t="shared" si="12"/>
        <v>100</v>
      </c>
      <c r="T36" s="701" t="s">
        <v>14</v>
      </c>
      <c r="U36" s="702">
        <f t="shared" si="13"/>
        <v>100</v>
      </c>
      <c r="V36" s="701" t="s">
        <v>14</v>
      </c>
      <c r="W36" s="702">
        <f t="shared" si="14"/>
        <v>100</v>
      </c>
      <c r="X36" s="1351"/>
      <c r="Y36" s="3729"/>
      <c r="Z36" s="1352">
        <f t="shared" si="15"/>
        <v>111</v>
      </c>
      <c r="AA36" s="1349">
        <f t="shared" si="3"/>
        <v>1</v>
      </c>
      <c r="AB36" s="1349">
        <f t="shared" si="4"/>
        <v>1</v>
      </c>
      <c r="AC36" s="1349">
        <f t="shared" si="5"/>
        <v>1</v>
      </c>
    </row>
    <row r="37" spans="1:29" ht="15">
      <c r="A37" s="427" t="s">
        <v>1844</v>
      </c>
      <c r="B37" s="1966" t="s">
        <v>3358</v>
      </c>
      <c r="C37" s="1150" t="s">
        <v>0</v>
      </c>
      <c r="D37" s="1151"/>
      <c r="E37" s="1152"/>
      <c r="F37" s="1153"/>
      <c r="G37" s="1154"/>
      <c r="H37" s="1155"/>
      <c r="I37" s="1152"/>
      <c r="J37" s="1155"/>
      <c r="K37" s="565"/>
      <c r="L37" s="2716"/>
      <c r="M37" s="2717"/>
      <c r="N37" s="2708"/>
      <c r="O37" s="2717"/>
      <c r="P37" s="3709" t="str">
        <f>A37</f>
        <v>成交单价</v>
      </c>
      <c r="Q37" s="3709"/>
      <c r="R37" s="3777">
        <f>E37</f>
        <v>0</v>
      </c>
      <c r="S37" s="3777"/>
      <c r="T37" s="3777">
        <f>G37</f>
        <v>0</v>
      </c>
      <c r="U37" s="3777"/>
      <c r="V37" s="3777">
        <f>I37</f>
        <v>0</v>
      </c>
      <c r="W37" s="3777"/>
      <c r="X37" s="686"/>
      <c r="Y37" s="708"/>
      <c r="Z37" s="686"/>
      <c r="AA37" s="686"/>
      <c r="AB37" s="686"/>
      <c r="AC37" s="686"/>
    </row>
    <row r="38" spans="1:29" ht="15.75" thickBot="1">
      <c r="A38" s="434" t="s">
        <v>1845</v>
      </c>
      <c r="B38" s="435" t="str">
        <f>B37</f>
        <v>元/平方米</v>
      </c>
      <c r="C38" s="1156" t="e">
        <f>R39</f>
        <v>#DIV/0!</v>
      </c>
      <c r="D38" s="2310" t="s">
        <v>2138</v>
      </c>
      <c r="E38" s="1157" t="e">
        <f>R38</f>
        <v>#DIV/0!</v>
      </c>
      <c r="F38" s="2311"/>
      <c r="G38" s="1156" t="e">
        <f>T38</f>
        <v>#DIV/0!</v>
      </c>
      <c r="H38" s="2311"/>
      <c r="I38" s="1157" t="e">
        <f>V38</f>
        <v>#DIV/0!</v>
      </c>
      <c r="J38" s="2311"/>
      <c r="K38" s="2313">
        <f>F38+H38+J38</f>
        <v>0</v>
      </c>
      <c r="L38" s="2716"/>
      <c r="M38" s="2717"/>
      <c r="N38" s="2717"/>
      <c r="O38" s="2717"/>
      <c r="P38" s="3709" t="str">
        <f>A38</f>
        <v>比较价值（元/平方米）</v>
      </c>
      <c r="Q38" s="3709"/>
      <c r="R38" s="3777" t="e">
        <f>IF(F1="售价",ROUND(PRODUCT(R37,AA7:AA36),0),ROUND(PRODUCT(R37,AA7:AA36),1))</f>
        <v>#DIV/0!</v>
      </c>
      <c r="S38" s="3777"/>
      <c r="T38" s="3777" t="e">
        <f>IF(F1="售价",ROUND(PRODUCT(T37,AB7:AB36),0),ROUND(PRODUCT(T37,AB7:AB36),1))</f>
        <v>#DIV/0!</v>
      </c>
      <c r="U38" s="3777"/>
      <c r="V38" s="3777" t="e">
        <f>IF(F1="售价",ROUND(PRODUCT(V37,AC7:AC36),0),ROUND(PRODUCT(V37,AC7:AC36),1))</f>
        <v>#DIV/0!</v>
      </c>
      <c r="W38" s="3777"/>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6"/>
      <c r="M39" s="2717"/>
      <c r="N39" s="2717"/>
      <c r="O39" s="2717"/>
      <c r="P39" s="3731" t="str">
        <f>A39</f>
        <v>估价对象XX用房的比较价值（楼面单价，元/平方米）</v>
      </c>
      <c r="Q39" s="3732"/>
      <c r="R39" s="3813" t="e">
        <f>IF(F1="售价",ROUND(IF(D38="简单平均",AVERAGE(R38:W38),R38*F38+T38*H38+V38*J38),0),ROUND(IF(D38="简单平均",AVERAGE(R38:V38),R38*F38+T38*H38+V38*J38),1))</f>
        <v>#DIV/0!</v>
      </c>
      <c r="S39" s="3813"/>
      <c r="T39" s="3813"/>
      <c r="U39" s="3813"/>
      <c r="V39" s="3813"/>
      <c r="W39" s="3813"/>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1850</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80" t="str">
        <f>YEAR(C7)&amp;"-"&amp;MONTH(C7)</f>
        <v>2023-2</v>
      </c>
      <c r="D48" s="1181">
        <f>EDATE(C48,-1)</f>
        <v>44927</v>
      </c>
      <c r="E48" s="1181">
        <f t="shared" ref="E48:O48" si="16">EDATE(D48,-1)</f>
        <v>44896</v>
      </c>
      <c r="F48" s="1181">
        <f t="shared" si="16"/>
        <v>44866</v>
      </c>
      <c r="G48" s="1181">
        <f t="shared" si="16"/>
        <v>44835</v>
      </c>
      <c r="H48" s="1181">
        <f t="shared" si="16"/>
        <v>44805</v>
      </c>
      <c r="I48" s="1181">
        <f t="shared" si="16"/>
        <v>44774</v>
      </c>
      <c r="J48" s="1181">
        <f t="shared" si="16"/>
        <v>44743</v>
      </c>
      <c r="K48" s="1181">
        <f t="shared" si="16"/>
        <v>44713</v>
      </c>
      <c r="L48" s="1181">
        <f t="shared" si="16"/>
        <v>44682</v>
      </c>
      <c r="M48" s="1181">
        <f t="shared" si="16"/>
        <v>44652</v>
      </c>
      <c r="N48" s="1181">
        <f t="shared" si="16"/>
        <v>44621</v>
      </c>
      <c r="O48" s="1181">
        <f t="shared" si="16"/>
        <v>44593</v>
      </c>
      <c r="P48" s="2751"/>
      <c r="Q48" s="2733"/>
      <c r="R48" s="2733"/>
      <c r="S48" s="2733"/>
      <c r="T48" s="2733"/>
      <c r="U48" s="2733"/>
      <c r="V48" s="2733"/>
      <c r="W48" s="2733"/>
      <c r="X48" s="2733"/>
      <c r="Y48" s="2733"/>
      <c r="Z48" s="2733"/>
      <c r="AA48" s="2733"/>
      <c r="AB48" s="2733"/>
      <c r="AC48" s="2733"/>
    </row>
    <row r="49" spans="1:29" s="108" customFormat="1" ht="15">
      <c r="A49" s="455"/>
      <c r="B49" s="456"/>
      <c r="C49" s="1173">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5"/>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3338</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10" t="s">
        <v>1770</v>
      </c>
      <c r="D4" s="3711"/>
      <c r="E4" s="3712" t="s">
        <v>1771</v>
      </c>
      <c r="F4" s="3713"/>
      <c r="G4" s="3710" t="s">
        <v>1772</v>
      </c>
      <c r="H4" s="3711"/>
      <c r="I4" s="3710" t="s">
        <v>1773</v>
      </c>
      <c r="J4" s="3711"/>
      <c r="K4" s="556" t="s">
        <v>1774</v>
      </c>
      <c r="L4" s="2707"/>
      <c r="M4" s="2708"/>
      <c r="N4" s="2708"/>
      <c r="O4" s="2708"/>
      <c r="P4" s="3714" t="s">
        <v>1775</v>
      </c>
      <c r="Q4" s="3715"/>
      <c r="R4" s="3697" t="s">
        <v>1771</v>
      </c>
      <c r="S4" s="3698"/>
      <c r="T4" s="3697" t="s">
        <v>1772</v>
      </c>
      <c r="U4" s="3698"/>
      <c r="V4" s="3722" t="s">
        <v>1773</v>
      </c>
      <c r="W4" s="3722"/>
      <c r="X4" s="1351"/>
      <c r="Y4" s="3697" t="s">
        <v>1775</v>
      </c>
      <c r="Z4" s="3698"/>
      <c r="AA4" s="3692" t="s">
        <v>1771</v>
      </c>
      <c r="AB4" s="3693" t="s">
        <v>1772</v>
      </c>
      <c r="AC4" s="3692" t="s">
        <v>1773</v>
      </c>
    </row>
    <row r="5" spans="1:29" ht="15">
      <c r="A5" s="355"/>
      <c r="B5" s="356"/>
      <c r="C5" s="3794" t="s">
        <v>1673</v>
      </c>
      <c r="D5" s="3795"/>
      <c r="E5" s="3792" t="s">
        <v>1674</v>
      </c>
      <c r="F5" s="3793"/>
      <c r="G5" s="3794" t="s">
        <v>1675</v>
      </c>
      <c r="H5" s="3795"/>
      <c r="I5" s="3794" t="s">
        <v>1676</v>
      </c>
      <c r="J5" s="3795"/>
      <c r="K5" s="556"/>
      <c r="L5" s="2707"/>
      <c r="M5" s="2708"/>
      <c r="N5" s="2708"/>
      <c r="O5" s="2708"/>
      <c r="P5" s="3716"/>
      <c r="Q5" s="3717"/>
      <c r="R5" s="3699"/>
      <c r="S5" s="3700"/>
      <c r="T5" s="3699"/>
      <c r="U5" s="3700"/>
      <c r="V5" s="3722"/>
      <c r="W5" s="3722"/>
      <c r="X5" s="1351"/>
      <c r="Y5" s="3699"/>
      <c r="Z5" s="3700"/>
      <c r="AA5" s="3693"/>
      <c r="AB5" s="3693"/>
      <c r="AC5" s="3693"/>
    </row>
    <row r="6" spans="1:29" ht="15.75" thickBot="1">
      <c r="A6" s="357"/>
      <c r="B6" s="358"/>
      <c r="C6" s="3705" t="s">
        <v>1677</v>
      </c>
      <c r="D6" s="3706"/>
      <c r="E6" s="3796" t="s">
        <v>1677</v>
      </c>
      <c r="F6" s="3797"/>
      <c r="G6" s="3705" t="s">
        <v>1677</v>
      </c>
      <c r="H6" s="3706"/>
      <c r="I6" s="3705" t="s">
        <v>1677</v>
      </c>
      <c r="J6" s="3706"/>
      <c r="K6" s="556" t="s">
        <v>1678</v>
      </c>
      <c r="L6" s="2707"/>
      <c r="M6" s="2708"/>
      <c r="N6" s="2708"/>
      <c r="O6" s="2708"/>
      <c r="P6" s="3718"/>
      <c r="Q6" s="3719"/>
      <c r="R6" s="3699"/>
      <c r="S6" s="3700"/>
      <c r="T6" s="3720"/>
      <c r="U6" s="3721"/>
      <c r="V6" s="3722"/>
      <c r="W6" s="3722"/>
      <c r="X6" s="1351"/>
      <c r="Y6" s="3720"/>
      <c r="Z6" s="3721"/>
      <c r="AA6" s="3694"/>
      <c r="AB6" s="3694"/>
      <c r="AC6" s="3694"/>
    </row>
    <row r="7" spans="1:29" s="108" customFormat="1" ht="15.75" thickBot="1">
      <c r="A7" s="359" t="s">
        <v>1679</v>
      </c>
      <c r="B7" s="360"/>
      <c r="C7" s="361">
        <f>'数据-取费表'!B2</f>
        <v>44970</v>
      </c>
      <c r="D7" s="362">
        <v>100</v>
      </c>
      <c r="E7" s="363"/>
      <c r="F7" s="364">
        <f>SUMIF(46:46,YEAR(E7)&amp;"-"&amp;MONTH(E7),47:47)</f>
        <v>0</v>
      </c>
      <c r="G7" s="1967"/>
      <c r="H7" s="362">
        <f>SUMIF(46:46,YEAR(G7)&amp;"-"&amp;MONTH(G7),47:47)</f>
        <v>0</v>
      </c>
      <c r="I7" s="363"/>
      <c r="J7" s="362">
        <f>SUMIF(46:46,YEAR(I7)&amp;"-"&amp;MONTH(I7),47:47)</f>
        <v>0</v>
      </c>
      <c r="K7" s="557"/>
      <c r="L7" s="2709"/>
      <c r="M7" s="2710"/>
      <c r="N7" s="2710"/>
      <c r="O7" s="2710"/>
      <c r="P7" s="3695" t="s">
        <v>1680</v>
      </c>
      <c r="Q7" s="3725"/>
      <c r="R7" s="697" t="s">
        <v>14</v>
      </c>
      <c r="S7" s="698">
        <f t="shared" ref="S7:S14" si="0">F7</f>
        <v>0</v>
      </c>
      <c r="T7" s="697" t="s">
        <v>14</v>
      </c>
      <c r="U7" s="698">
        <f t="shared" ref="U7:U14" si="1">H7</f>
        <v>0</v>
      </c>
      <c r="V7" s="697" t="s">
        <v>14</v>
      </c>
      <c r="W7" s="698">
        <f t="shared" ref="W7:W14" si="2">J7</f>
        <v>0</v>
      </c>
      <c r="X7" s="699"/>
      <c r="Y7" s="3695" t="s">
        <v>1680</v>
      </c>
      <c r="Z7" s="3696"/>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695" t="s">
        <v>1683</v>
      </c>
      <c r="Q8" s="3696"/>
      <c r="R8" s="697" t="s">
        <v>14</v>
      </c>
      <c r="S8" s="698">
        <f t="shared" si="0"/>
        <v>100</v>
      </c>
      <c r="T8" s="697" t="s">
        <v>14</v>
      </c>
      <c r="U8" s="698">
        <f t="shared" si="1"/>
        <v>100</v>
      </c>
      <c r="V8" s="697" t="s">
        <v>14</v>
      </c>
      <c r="W8" s="698">
        <f t="shared" si="2"/>
        <v>100</v>
      </c>
      <c r="X8" s="699"/>
      <c r="Y8" s="3695" t="s">
        <v>1683</v>
      </c>
      <c r="Z8" s="3696"/>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9"/>
      <c r="M9" s="2710"/>
      <c r="N9" s="2710"/>
      <c r="O9" s="2764"/>
      <c r="P9" s="3709" t="s">
        <v>1686</v>
      </c>
      <c r="Q9" s="1339" t="str">
        <f t="shared" ref="Q9:Q14" si="6">B9</f>
        <v>用途</v>
      </c>
      <c r="R9" s="697" t="s">
        <v>14</v>
      </c>
      <c r="S9" s="698">
        <f t="shared" si="0"/>
        <v>100</v>
      </c>
      <c r="T9" s="697" t="s">
        <v>14</v>
      </c>
      <c r="U9" s="698">
        <f t="shared" si="1"/>
        <v>100</v>
      </c>
      <c r="V9" s="697" t="s">
        <v>14</v>
      </c>
      <c r="W9" s="698">
        <f t="shared" si="2"/>
        <v>100</v>
      </c>
      <c r="X9" s="699"/>
      <c r="Y9" s="3660" t="s">
        <v>1687</v>
      </c>
      <c r="Z9" s="52" t="str">
        <f t="shared" ref="Z9:Z14" si="7">Q9</f>
        <v>用途</v>
      </c>
      <c r="AA9" s="700">
        <f t="shared" si="3"/>
        <v>1</v>
      </c>
      <c r="AB9" s="700">
        <f t="shared" si="4"/>
        <v>1</v>
      </c>
      <c r="AC9" s="700">
        <f t="shared" si="5"/>
        <v>1</v>
      </c>
    </row>
    <row r="10" spans="1:29" s="375" customFormat="1" ht="27">
      <c r="A10" s="371"/>
      <c r="B10" s="372" t="s">
        <v>1688</v>
      </c>
      <c r="C10" s="3426"/>
      <c r="D10" s="125">
        <v>100</v>
      </c>
      <c r="E10" s="3426"/>
      <c r="F10" s="373">
        <f>SUMIF(53:53,E10,54:54)-SUMIF(53:53,C10,54:54)+100</f>
        <v>100</v>
      </c>
      <c r="G10" s="3426"/>
      <c r="H10" s="125">
        <f>SUMIF(53:53,G10,54:54)-SUMIF(53:53,C10,54:54)+100</f>
        <v>100</v>
      </c>
      <c r="I10" s="3426"/>
      <c r="J10" s="125">
        <f>SUMIF(53:53,I10,54:54)-SUMIF(53:53,C10,54:54)+100</f>
        <v>100</v>
      </c>
      <c r="K10" s="557"/>
      <c r="L10" s="2711"/>
      <c r="M10" s="2712"/>
      <c r="N10" s="2712"/>
      <c r="O10" s="2765"/>
      <c r="P10" s="3709"/>
      <c r="Q10" s="1339" t="str">
        <f t="shared" si="6"/>
        <v>土地使用年限（年）</v>
      </c>
      <c r="R10" s="697" t="s">
        <v>14</v>
      </c>
      <c r="S10" s="698">
        <f t="shared" si="0"/>
        <v>100</v>
      </c>
      <c r="T10" s="697" t="s">
        <v>14</v>
      </c>
      <c r="U10" s="698">
        <f t="shared" si="1"/>
        <v>100</v>
      </c>
      <c r="V10" s="697" t="s">
        <v>14</v>
      </c>
      <c r="W10" s="698">
        <f t="shared" si="2"/>
        <v>100</v>
      </c>
      <c r="X10" s="699"/>
      <c r="Y10" s="3660"/>
      <c r="Z10" s="52" t="str">
        <f t="shared" si="7"/>
        <v>土地使用年限（年）</v>
      </c>
      <c r="AA10" s="700">
        <f t="shared" si="3"/>
        <v>1</v>
      </c>
      <c r="AB10" s="700">
        <f t="shared" si="4"/>
        <v>1</v>
      </c>
      <c r="AC10" s="700">
        <f t="shared" si="5"/>
        <v>1</v>
      </c>
    </row>
    <row r="11" spans="1:29" ht="15">
      <c r="A11" s="376"/>
      <c r="B11" s="1888">
        <v>111</v>
      </c>
      <c r="C11" s="380"/>
      <c r="D11" s="125">
        <v>100</v>
      </c>
      <c r="E11" s="417"/>
      <c r="F11" s="373">
        <f>SUMIF(55:55,E11,56:56)-SUMIF(55:55,C11,56:56)+100</f>
        <v>100</v>
      </c>
      <c r="G11" s="417"/>
      <c r="H11" s="125">
        <f>SUMIF(55:55,G11,56:56)-SUMIF(55:55,C11,56:56)+100</f>
        <v>100</v>
      </c>
      <c r="I11" s="417"/>
      <c r="J11" s="125">
        <f>SUMIF(55:55,I11,56:56)-SUMIF(55:55,C11,56:56)+100</f>
        <v>100</v>
      </c>
      <c r="K11" s="559"/>
      <c r="L11" s="2713"/>
      <c r="M11" s="2708"/>
      <c r="N11" s="2708"/>
      <c r="O11" s="2766"/>
      <c r="P11" s="3709"/>
      <c r="Q11" s="1339">
        <f t="shared" si="6"/>
        <v>111</v>
      </c>
      <c r="R11" s="697" t="s">
        <v>14</v>
      </c>
      <c r="S11" s="698">
        <f t="shared" si="0"/>
        <v>100</v>
      </c>
      <c r="T11" s="697" t="s">
        <v>14</v>
      </c>
      <c r="U11" s="698">
        <f t="shared" si="1"/>
        <v>100</v>
      </c>
      <c r="V11" s="697" t="s">
        <v>14</v>
      </c>
      <c r="W11" s="698">
        <f t="shared" si="2"/>
        <v>100</v>
      </c>
      <c r="X11" s="699"/>
      <c r="Y11" s="3660"/>
      <c r="Z11" s="52">
        <f t="shared" si="7"/>
        <v>111</v>
      </c>
      <c r="AA11" s="700">
        <f t="shared" si="3"/>
        <v>1</v>
      </c>
      <c r="AB11" s="700">
        <f t="shared" si="4"/>
        <v>1</v>
      </c>
      <c r="AC11" s="700">
        <f t="shared" si="5"/>
        <v>1</v>
      </c>
    </row>
    <row r="12" spans="1:29" s="108" customFormat="1" ht="15">
      <c r="A12" s="379"/>
      <c r="B12" s="1888">
        <v>111</v>
      </c>
      <c r="C12" s="380"/>
      <c r="D12" s="381">
        <v>100</v>
      </c>
      <c r="E12" s="417"/>
      <c r="F12" s="373">
        <f>SUMIF(57:57,E12,58:58)-SUMIF(57:57,C12,58:58)+100</f>
        <v>100</v>
      </c>
      <c r="G12" s="417"/>
      <c r="H12" s="125">
        <f>SUMIF(57:57,G12,58:58)-SUMIF(57:57,C12,58:58)+100</f>
        <v>100</v>
      </c>
      <c r="I12" s="417"/>
      <c r="J12" s="125">
        <f>SUMIF(57:57,I12,58:58)-SUMIF(57:57,C12,58:58)+100</f>
        <v>100</v>
      </c>
      <c r="K12" s="559"/>
      <c r="L12" s="2709"/>
      <c r="M12" s="2710"/>
      <c r="N12" s="2710"/>
      <c r="O12" s="2764"/>
      <c r="P12" s="3709"/>
      <c r="Q12" s="1339">
        <f t="shared" si="6"/>
        <v>111</v>
      </c>
      <c r="R12" s="697" t="s">
        <v>14</v>
      </c>
      <c r="S12" s="698">
        <f t="shared" si="0"/>
        <v>100</v>
      </c>
      <c r="T12" s="697" t="s">
        <v>14</v>
      </c>
      <c r="U12" s="698">
        <f t="shared" si="1"/>
        <v>100</v>
      </c>
      <c r="V12" s="697" t="s">
        <v>14</v>
      </c>
      <c r="W12" s="698">
        <f t="shared" si="2"/>
        <v>100</v>
      </c>
      <c r="X12" s="699"/>
      <c r="Y12" s="3660"/>
      <c r="Z12" s="52">
        <f t="shared" si="7"/>
        <v>111</v>
      </c>
      <c r="AA12" s="700">
        <f>D12/F12</f>
        <v>1</v>
      </c>
      <c r="AB12" s="700">
        <f>D12/H12</f>
        <v>1</v>
      </c>
      <c r="AC12" s="700">
        <f>D12/J12</f>
        <v>1</v>
      </c>
    </row>
    <row r="13" spans="1:29" ht="15.75" thickBot="1">
      <c r="A13" s="376"/>
      <c r="B13" s="1888">
        <v>111</v>
      </c>
      <c r="C13" s="382"/>
      <c r="D13" s="383">
        <v>100</v>
      </c>
      <c r="E13" s="417"/>
      <c r="F13" s="373">
        <f>SUMIF(59:59,E13,60:60)-SUMIF(59:59,C13,60:60)+100</f>
        <v>100</v>
      </c>
      <c r="G13" s="1968"/>
      <c r="H13" s="386">
        <f>SUMIF(59:59,G13,60:60)-SUMIF(59:59,C13,60:60)+100</f>
        <v>100</v>
      </c>
      <c r="I13" s="417"/>
      <c r="J13" s="383">
        <f>SUMIF(59:59,I13,60:60)-SUMIF(59:59,C13,60:60)+100</f>
        <v>100</v>
      </c>
      <c r="K13" s="559"/>
      <c r="L13" s="2714"/>
      <c r="M13" s="2708"/>
      <c r="N13" s="2708"/>
      <c r="O13" s="2766"/>
      <c r="P13" s="3709"/>
      <c r="Q13" s="1339">
        <f t="shared" si="6"/>
        <v>111</v>
      </c>
      <c r="R13" s="697" t="s">
        <v>14</v>
      </c>
      <c r="S13" s="698">
        <f t="shared" si="0"/>
        <v>100</v>
      </c>
      <c r="T13" s="697" t="s">
        <v>14</v>
      </c>
      <c r="U13" s="698">
        <f t="shared" si="1"/>
        <v>100</v>
      </c>
      <c r="V13" s="697" t="s">
        <v>14</v>
      </c>
      <c r="W13" s="698">
        <f t="shared" si="2"/>
        <v>100</v>
      </c>
      <c r="X13" s="699"/>
      <c r="Y13" s="3660"/>
      <c r="Z13" s="52">
        <f t="shared" si="7"/>
        <v>111</v>
      </c>
      <c r="AA13" s="700">
        <f t="shared" si="3"/>
        <v>1</v>
      </c>
      <c r="AB13" s="700">
        <f t="shared" si="4"/>
        <v>1</v>
      </c>
      <c r="AC13" s="700">
        <f t="shared" si="5"/>
        <v>1</v>
      </c>
    </row>
    <row r="14" spans="1:29" ht="156.75">
      <c r="A14" s="388" t="s">
        <v>1690</v>
      </c>
      <c r="B14" s="61"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26" t="s">
        <v>1691</v>
      </c>
      <c r="Q14" s="1348" t="str">
        <f t="shared" si="6"/>
        <v>交通便捷度</v>
      </c>
      <c r="R14" s="701" t="s">
        <v>14</v>
      </c>
      <c r="S14" s="702">
        <f t="shared" si="0"/>
        <v>100</v>
      </c>
      <c r="T14" s="701" t="s">
        <v>14</v>
      </c>
      <c r="U14" s="702">
        <f t="shared" si="1"/>
        <v>100</v>
      </c>
      <c r="V14" s="701" t="s">
        <v>14</v>
      </c>
      <c r="W14" s="702">
        <f t="shared" si="2"/>
        <v>100</v>
      </c>
      <c r="X14" s="1351"/>
      <c r="Y14" s="3726"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4"/>
      <c r="M15" s="2708"/>
      <c r="N15" s="2708"/>
      <c r="O15" s="2766"/>
      <c r="P15" s="3727"/>
      <c r="Q15" s="1348"/>
      <c r="R15" s="701"/>
      <c r="S15" s="702"/>
      <c r="T15" s="701"/>
      <c r="U15" s="702"/>
      <c r="V15" s="701"/>
      <c r="W15" s="702"/>
      <c r="X15" s="1351"/>
      <c r="Y15" s="3727"/>
      <c r="Z15" s="1352"/>
      <c r="AA15" s="1349">
        <v>1</v>
      </c>
      <c r="AB15" s="1349">
        <v>1</v>
      </c>
      <c r="AC15" s="1349">
        <v>1</v>
      </c>
    </row>
    <row r="16" spans="1:29" ht="142.5">
      <c r="A16" s="376"/>
      <c r="B16" s="399"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27"/>
      <c r="Q16" s="1348" t="str">
        <f>B16</f>
        <v>公共配套设施</v>
      </c>
      <c r="R16" s="701" t="s">
        <v>14</v>
      </c>
      <c r="S16" s="702">
        <f>F16</f>
        <v>100</v>
      </c>
      <c r="T16" s="701" t="s">
        <v>14</v>
      </c>
      <c r="U16" s="702">
        <f>H16</f>
        <v>100</v>
      </c>
      <c r="V16" s="701" t="s">
        <v>14</v>
      </c>
      <c r="W16" s="702">
        <f>J16</f>
        <v>100</v>
      </c>
      <c r="X16" s="1351"/>
      <c r="Y16" s="3727"/>
      <c r="Z16" s="1352" t="str">
        <f>Q16</f>
        <v>公共配套设施</v>
      </c>
      <c r="AA16" s="1349">
        <f t="shared" si="3"/>
        <v>1</v>
      </c>
      <c r="AB16" s="1349">
        <f t="shared" si="4"/>
        <v>1</v>
      </c>
      <c r="AC16" s="1349">
        <f t="shared" si="5"/>
        <v>1</v>
      </c>
    </row>
    <row r="17" spans="1:29" ht="15">
      <c r="A17" s="376"/>
      <c r="B17" s="404"/>
      <c r="C17" s="1896"/>
      <c r="D17" s="396"/>
      <c r="E17" s="395"/>
      <c r="F17" s="397"/>
      <c r="G17" s="395"/>
      <c r="H17" s="396"/>
      <c r="I17" s="395"/>
      <c r="J17" s="396"/>
      <c r="K17" s="561"/>
      <c r="L17" s="2714"/>
      <c r="M17" s="2708"/>
      <c r="N17" s="2708"/>
      <c r="O17" s="2766"/>
      <c r="P17" s="3727"/>
      <c r="Q17" s="1348"/>
      <c r="R17" s="701"/>
      <c r="S17" s="702"/>
      <c r="T17" s="701"/>
      <c r="U17" s="702"/>
      <c r="V17" s="701"/>
      <c r="W17" s="702"/>
      <c r="X17" s="1351"/>
      <c r="Y17" s="3727"/>
      <c r="Z17" s="1352"/>
      <c r="AA17" s="1349">
        <v>1</v>
      </c>
      <c r="AB17" s="1349">
        <v>1</v>
      </c>
      <c r="AC17" s="1349">
        <v>1</v>
      </c>
    </row>
    <row r="18" spans="1:29" ht="42.75">
      <c r="A18" s="376"/>
      <c r="B18" s="1127" t="s">
        <v>1813</v>
      </c>
      <c r="C18" s="1895" t="str">
        <f>IF(B1="工业",估价对象房地状况!G6,估价对象房地状况!C8)</f>
        <v>估价对象所在区域基础设施水平-六通</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27"/>
      <c r="Q18" s="1348" t="str">
        <f>B18</f>
        <v>基础设施水平</v>
      </c>
      <c r="R18" s="701" t="s">
        <v>14</v>
      </c>
      <c r="S18" s="702">
        <f>F18</f>
        <v>100</v>
      </c>
      <c r="T18" s="701" t="s">
        <v>14</v>
      </c>
      <c r="U18" s="702">
        <f>H18</f>
        <v>100</v>
      </c>
      <c r="V18" s="701" t="s">
        <v>14</v>
      </c>
      <c r="W18" s="702">
        <f>J18</f>
        <v>100</v>
      </c>
      <c r="X18" s="1351"/>
      <c r="Y18" s="3727"/>
      <c r="Z18" s="1352" t="str">
        <f>Q18</f>
        <v>基础设施水平</v>
      </c>
      <c r="AA18" s="1349">
        <f t="shared" ref="AA18" si="8">D18/F18</f>
        <v>1</v>
      </c>
      <c r="AB18" s="1349">
        <f t="shared" ref="AB18" si="9">D18/H18</f>
        <v>1</v>
      </c>
      <c r="AC18" s="1349">
        <f t="shared" ref="AC18" si="10">D18/J18</f>
        <v>1</v>
      </c>
    </row>
    <row r="19" spans="1:29" ht="15">
      <c r="A19" s="376"/>
      <c r="B19" s="1127"/>
      <c r="C19" s="1896"/>
      <c r="D19" s="398"/>
      <c r="E19" s="1896"/>
      <c r="F19" s="401"/>
      <c r="G19" s="1896"/>
      <c r="H19" s="396"/>
      <c r="I19" s="395"/>
      <c r="J19" s="396"/>
      <c r="K19" s="1126"/>
      <c r="L19" s="2714"/>
      <c r="M19" s="2708"/>
      <c r="N19" s="2708"/>
      <c r="O19" s="2766"/>
      <c r="P19" s="3727"/>
      <c r="Q19" s="1348"/>
      <c r="R19" s="701"/>
      <c r="S19" s="702"/>
      <c r="T19" s="701"/>
      <c r="U19" s="702"/>
      <c r="V19" s="701"/>
      <c r="W19" s="702"/>
      <c r="X19" s="1351"/>
      <c r="Y19" s="3727"/>
      <c r="Z19" s="1352"/>
      <c r="AA19" s="1349">
        <v>1</v>
      </c>
      <c r="AB19" s="1349">
        <v>1</v>
      </c>
      <c r="AC19" s="1349">
        <v>1</v>
      </c>
    </row>
    <row r="20" spans="1:29" ht="99.75">
      <c r="A20" s="376"/>
      <c r="B20" s="399" t="s">
        <v>1834</v>
      </c>
      <c r="C20" s="1895" t="str">
        <f>IF(B1="工业",估价对象房地状况!G7,估价对象房地状况!C9)</f>
        <v>周边3公里范围内有南海子公园、志远庄公园等自然景观，人文景观较少，综合评价环境状况一般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27"/>
      <c r="Q20" s="1348" t="str">
        <f>B20</f>
        <v>自然及人文环境</v>
      </c>
      <c r="R20" s="701" t="s">
        <v>14</v>
      </c>
      <c r="S20" s="702">
        <f>F20</f>
        <v>100</v>
      </c>
      <c r="T20" s="701" t="s">
        <v>14</v>
      </c>
      <c r="U20" s="702">
        <f>H20</f>
        <v>100</v>
      </c>
      <c r="V20" s="701" t="s">
        <v>14</v>
      </c>
      <c r="W20" s="702">
        <f>J20</f>
        <v>100</v>
      </c>
      <c r="X20" s="1351"/>
      <c r="Y20" s="3727"/>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4"/>
      <c r="M21" s="2708"/>
      <c r="N21" s="2708"/>
      <c r="O21" s="2766"/>
      <c r="P21" s="3727"/>
      <c r="Q21" s="1348"/>
      <c r="R21" s="701"/>
      <c r="S21" s="702"/>
      <c r="T21" s="701"/>
      <c r="U21" s="702"/>
      <c r="V21" s="701"/>
      <c r="W21" s="702"/>
      <c r="X21" s="1351"/>
      <c r="Y21" s="3727"/>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27"/>
      <c r="Q22" s="1348" t="str">
        <f>B22</f>
        <v>楼层</v>
      </c>
      <c r="R22" s="701" t="s">
        <v>14</v>
      </c>
      <c r="S22" s="702">
        <f>F22</f>
        <v>100</v>
      </c>
      <c r="T22" s="701" t="s">
        <v>14</v>
      </c>
      <c r="U22" s="702">
        <f>H22</f>
        <v>100</v>
      </c>
      <c r="V22" s="701" t="s">
        <v>14</v>
      </c>
      <c r="W22" s="702">
        <f>J22</f>
        <v>100</v>
      </c>
      <c r="X22" s="1351"/>
      <c r="Y22" s="3727"/>
      <c r="Z22" s="1352" t="str">
        <f>Q22</f>
        <v>楼层</v>
      </c>
      <c r="AA22" s="1349">
        <f t="shared" si="3"/>
        <v>1</v>
      </c>
      <c r="AB22" s="1349">
        <f t="shared" si="4"/>
        <v>1</v>
      </c>
      <c r="AC22" s="1349">
        <f t="shared" si="5"/>
        <v>1</v>
      </c>
    </row>
    <row r="23" spans="1:29" ht="15">
      <c r="A23" s="355"/>
      <c r="B23" s="1888">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27"/>
      <c r="Q23" s="1348">
        <f>B23</f>
        <v>111</v>
      </c>
      <c r="R23" s="701" t="s">
        <v>14</v>
      </c>
      <c r="S23" s="702">
        <f>F23</f>
        <v>100</v>
      </c>
      <c r="T23" s="701" t="s">
        <v>14</v>
      </c>
      <c r="U23" s="702">
        <f>H23</f>
        <v>100</v>
      </c>
      <c r="V23" s="701" t="s">
        <v>14</v>
      </c>
      <c r="W23" s="702">
        <f>J23</f>
        <v>100</v>
      </c>
      <c r="X23" s="1351"/>
      <c r="Y23" s="3727"/>
      <c r="Z23" s="1352">
        <f>Q23</f>
        <v>111</v>
      </c>
      <c r="AA23" s="1349">
        <f t="shared" si="3"/>
        <v>1</v>
      </c>
      <c r="AB23" s="1349">
        <f t="shared" si="4"/>
        <v>1</v>
      </c>
      <c r="AC23" s="1349">
        <f t="shared" si="5"/>
        <v>1</v>
      </c>
    </row>
    <row r="24" spans="1:29" ht="15">
      <c r="A24" s="376"/>
      <c r="B24" s="1888">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27"/>
      <c r="Q24" s="1348">
        <f t="shared" ref="Q24:Q34" si="11">B24</f>
        <v>111</v>
      </c>
      <c r="R24" s="701" t="s">
        <v>14</v>
      </c>
      <c r="S24" s="702">
        <f>F24</f>
        <v>100</v>
      </c>
      <c r="T24" s="701" t="s">
        <v>14</v>
      </c>
      <c r="U24" s="702">
        <f>H24</f>
        <v>100</v>
      </c>
      <c r="V24" s="701" t="s">
        <v>14</v>
      </c>
      <c r="W24" s="702">
        <f>J24</f>
        <v>100</v>
      </c>
      <c r="X24" s="1351"/>
      <c r="Y24" s="3727"/>
      <c r="Z24" s="1352">
        <f>Q24</f>
        <v>111</v>
      </c>
      <c r="AA24" s="1349">
        <f t="shared" si="3"/>
        <v>1</v>
      </c>
      <c r="AB24" s="1349">
        <f t="shared" si="4"/>
        <v>1</v>
      </c>
      <c r="AC24" s="1349">
        <f t="shared" si="5"/>
        <v>1</v>
      </c>
    </row>
    <row r="25" spans="1:29" s="108" customFormat="1" ht="15.75" thickBot="1">
      <c r="A25" s="379"/>
      <c r="B25" s="1888">
        <v>111</v>
      </c>
      <c r="C25" s="1969"/>
      <c r="D25" s="610">
        <v>100</v>
      </c>
      <c r="E25" s="1969"/>
      <c r="F25" s="611">
        <f>SUMIF(75:75,E25,76:76)-SUMIF(75:75,C25,76:76)+100</f>
        <v>100</v>
      </c>
      <c r="G25" s="1969"/>
      <c r="H25" s="610">
        <f>SUMIF(75:75,G25,76:76)-SUMIF(75:75,C25,76:76)+100</f>
        <v>100</v>
      </c>
      <c r="I25" s="1969"/>
      <c r="J25" s="610">
        <f>SUMIF(75:75,I25,76:76)-SUMIF(75:75,C25,76:76)+100</f>
        <v>100</v>
      </c>
      <c r="K25" s="559"/>
      <c r="L25" s="2709"/>
      <c r="M25" s="2710"/>
      <c r="N25" s="2710"/>
      <c r="O25" s="2764"/>
      <c r="P25" s="3727"/>
      <c r="Q25" s="1339">
        <f t="shared" si="11"/>
        <v>111</v>
      </c>
      <c r="R25" s="697" t="s">
        <v>14</v>
      </c>
      <c r="S25" s="698">
        <f>F25</f>
        <v>100</v>
      </c>
      <c r="T25" s="697" t="s">
        <v>14</v>
      </c>
      <c r="U25" s="698">
        <f>H25</f>
        <v>100</v>
      </c>
      <c r="V25" s="697" t="s">
        <v>14</v>
      </c>
      <c r="W25" s="698">
        <f>J25</f>
        <v>100</v>
      </c>
      <c r="X25" s="699"/>
      <c r="Y25" s="3727"/>
      <c r="Z25" s="52">
        <f>Q25</f>
        <v>111</v>
      </c>
      <c r="AA25" s="1349">
        <f>D25/F25</f>
        <v>1</v>
      </c>
      <c r="AB25" s="1349">
        <f>D25/H25</f>
        <v>1</v>
      </c>
      <c r="AC25" s="1349">
        <f>D25/J25</f>
        <v>1</v>
      </c>
    </row>
    <row r="26" spans="1:29" ht="15">
      <c r="A26" s="414" t="s">
        <v>1694</v>
      </c>
      <c r="B26" s="63" t="s">
        <v>1838</v>
      </c>
      <c r="C26" s="1960"/>
      <c r="D26" s="415">
        <v>100</v>
      </c>
      <c r="E26" s="1960"/>
      <c r="F26" s="612">
        <f>SUMIF(77:77,E26,78:78)-SUMIF(77:77,C26,78:78)+100</f>
        <v>100</v>
      </c>
      <c r="G26" s="1960"/>
      <c r="H26" s="415">
        <f>SUMIF(77:77,G26,78:78)-SUMIF(77:77,C26,78:78)+100</f>
        <v>100</v>
      </c>
      <c r="I26" s="1960"/>
      <c r="J26" s="415">
        <f>SUMIF(77:77,I26,78:78)-SUMIF(77:77,C26,78:78)+100</f>
        <v>100</v>
      </c>
      <c r="K26" s="558"/>
      <c r="L26" s="2714"/>
      <c r="M26" s="2708"/>
      <c r="N26" s="2708"/>
      <c r="O26" s="2766"/>
      <c r="P26" s="3728"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29"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29"/>
      <c r="Q27" s="703" t="str">
        <f t="shared" si="11"/>
        <v>成新率</v>
      </c>
      <c r="R27" s="704" t="s">
        <v>14</v>
      </c>
      <c r="S27" s="705" t="e">
        <f t="shared" si="12"/>
        <v>#N/A</v>
      </c>
      <c r="T27" s="704" t="s">
        <v>14</v>
      </c>
      <c r="U27" s="705" t="e">
        <f t="shared" si="13"/>
        <v>#N/A</v>
      </c>
      <c r="V27" s="704" t="s">
        <v>14</v>
      </c>
      <c r="W27" s="705" t="e">
        <f t="shared" si="14"/>
        <v>#N/A</v>
      </c>
      <c r="X27" s="706"/>
      <c r="Y27" s="3729"/>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29"/>
      <c r="Q28" s="1348" t="str">
        <f t="shared" si="11"/>
        <v>物业等级</v>
      </c>
      <c r="R28" s="701" t="s">
        <v>14</v>
      </c>
      <c r="S28" s="702">
        <f t="shared" si="12"/>
        <v>100</v>
      </c>
      <c r="T28" s="701" t="s">
        <v>14</v>
      </c>
      <c r="U28" s="702">
        <f t="shared" si="13"/>
        <v>100</v>
      </c>
      <c r="V28" s="701" t="s">
        <v>14</v>
      </c>
      <c r="W28" s="702">
        <f t="shared" si="14"/>
        <v>100</v>
      </c>
      <c r="X28" s="1351"/>
      <c r="Y28" s="3729"/>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29"/>
      <c r="Q29" s="1348" t="str">
        <f t="shared" si="11"/>
        <v>有无电梯</v>
      </c>
      <c r="R29" s="701" t="s">
        <v>14</v>
      </c>
      <c r="S29" s="702">
        <f t="shared" si="12"/>
        <v>100</v>
      </c>
      <c r="T29" s="701" t="s">
        <v>14</v>
      </c>
      <c r="U29" s="702">
        <f t="shared" si="13"/>
        <v>100</v>
      </c>
      <c r="V29" s="701" t="s">
        <v>14</v>
      </c>
      <c r="W29" s="702">
        <f t="shared" si="14"/>
        <v>100</v>
      </c>
      <c r="X29" s="1351"/>
      <c r="Y29" s="3729"/>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29"/>
      <c r="Q30" s="1348" t="str">
        <f t="shared" si="11"/>
        <v>建筑面积</v>
      </c>
      <c r="R30" s="701" t="s">
        <v>14</v>
      </c>
      <c r="S30" s="702" t="e">
        <f t="shared" si="12"/>
        <v>#N/A</v>
      </c>
      <c r="T30" s="701" t="s">
        <v>14</v>
      </c>
      <c r="U30" s="702" t="e">
        <f t="shared" si="13"/>
        <v>#N/A</v>
      </c>
      <c r="V30" s="701" t="s">
        <v>14</v>
      </c>
      <c r="W30" s="702" t="e">
        <f t="shared" si="14"/>
        <v>#N/A</v>
      </c>
      <c r="X30" s="1351"/>
      <c r="Y30" s="3729"/>
      <c r="Z30" s="1352" t="str">
        <f t="shared" si="15"/>
        <v>建筑面积</v>
      </c>
      <c r="AA30" s="1349" t="e">
        <f t="shared" si="3"/>
        <v>#N/A</v>
      </c>
      <c r="AB30" s="1349" t="e">
        <f t="shared" si="4"/>
        <v>#N/A</v>
      </c>
      <c r="AC30" s="1349"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29"/>
      <c r="Q31" s="1339" t="str">
        <f t="shared" si="11"/>
        <v>是否封闭</v>
      </c>
      <c r="R31" s="697" t="s">
        <v>14</v>
      </c>
      <c r="S31" s="698">
        <f t="shared" si="12"/>
        <v>100</v>
      </c>
      <c r="T31" s="697" t="s">
        <v>14</v>
      </c>
      <c r="U31" s="698">
        <f t="shared" si="13"/>
        <v>100</v>
      </c>
      <c r="V31" s="697" t="s">
        <v>14</v>
      </c>
      <c r="W31" s="698">
        <f t="shared" si="14"/>
        <v>100</v>
      </c>
      <c r="X31" s="699"/>
      <c r="Y31" s="3729"/>
      <c r="Z31" s="52" t="str">
        <f t="shared" si="15"/>
        <v>是否封闭</v>
      </c>
      <c r="AA31" s="700">
        <f t="shared" si="3"/>
        <v>1</v>
      </c>
      <c r="AB31" s="700">
        <f t="shared" si="4"/>
        <v>1</v>
      </c>
      <c r="AC31" s="700">
        <f t="shared" si="5"/>
        <v>1</v>
      </c>
    </row>
    <row r="32" spans="1:29" ht="15">
      <c r="A32" s="420"/>
      <c r="B32" s="1888">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29" t="s">
        <v>1696</v>
      </c>
      <c r="Q32" s="1348">
        <f t="shared" si="11"/>
        <v>111</v>
      </c>
      <c r="R32" s="701" t="s">
        <v>14</v>
      </c>
      <c r="S32" s="702">
        <f t="shared" si="12"/>
        <v>100</v>
      </c>
      <c r="T32" s="701" t="s">
        <v>14</v>
      </c>
      <c r="U32" s="702">
        <f t="shared" si="13"/>
        <v>100</v>
      </c>
      <c r="V32" s="701" t="s">
        <v>14</v>
      </c>
      <c r="W32" s="702">
        <f t="shared" si="14"/>
        <v>100</v>
      </c>
      <c r="X32" s="1351"/>
      <c r="Y32" s="3729" t="s">
        <v>1696</v>
      </c>
      <c r="Z32" s="1352">
        <f t="shared" si="15"/>
        <v>111</v>
      </c>
      <c r="AA32" s="1349">
        <f t="shared" si="3"/>
        <v>1</v>
      </c>
      <c r="AB32" s="1349">
        <f t="shared" si="4"/>
        <v>1</v>
      </c>
      <c r="AC32" s="1349">
        <f t="shared" si="5"/>
        <v>1</v>
      </c>
    </row>
    <row r="33" spans="1:30" ht="15">
      <c r="A33" s="420"/>
      <c r="B33" s="1888">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29"/>
      <c r="Q33" s="1348">
        <f t="shared" si="11"/>
        <v>111</v>
      </c>
      <c r="R33" s="701" t="s">
        <v>14</v>
      </c>
      <c r="S33" s="702">
        <f t="shared" si="12"/>
        <v>100</v>
      </c>
      <c r="T33" s="701" t="s">
        <v>14</v>
      </c>
      <c r="U33" s="702">
        <f t="shared" si="13"/>
        <v>100</v>
      </c>
      <c r="V33" s="701" t="s">
        <v>14</v>
      </c>
      <c r="W33" s="702">
        <f t="shared" si="14"/>
        <v>100</v>
      </c>
      <c r="X33" s="1351"/>
      <c r="Y33" s="3729"/>
      <c r="Z33" s="1352">
        <f t="shared" si="15"/>
        <v>111</v>
      </c>
      <c r="AA33" s="1349">
        <f t="shared" si="3"/>
        <v>1</v>
      </c>
      <c r="AB33" s="1349">
        <f t="shared" si="4"/>
        <v>1</v>
      </c>
      <c r="AC33" s="1349">
        <f t="shared" si="5"/>
        <v>1</v>
      </c>
    </row>
    <row r="34" spans="1:30" ht="15.75" thickBot="1">
      <c r="A34" s="426"/>
      <c r="B34" s="1890">
        <v>111</v>
      </c>
      <c r="C34" s="385"/>
      <c r="D34" s="386">
        <v>100</v>
      </c>
      <c r="E34" s="1968"/>
      <c r="F34" s="387">
        <f>SUMIF(95:95,E34,96:96)-SUMIF(95:95,C34,96:96)+100</f>
        <v>100</v>
      </c>
      <c r="G34" s="1968"/>
      <c r="H34" s="386">
        <f>SUMIF(95:95,G34,96:96)-SUMIF(95:95,C34,96:96)+100</f>
        <v>100</v>
      </c>
      <c r="I34" s="1968"/>
      <c r="J34" s="386">
        <f>SUMIF(95:95,I34,96:96)-SUMIF(95:95,C34,96:96)+100</f>
        <v>100</v>
      </c>
      <c r="K34" s="559"/>
      <c r="L34" s="2714"/>
      <c r="M34" s="2708"/>
      <c r="N34" s="2708"/>
      <c r="O34" s="2766"/>
      <c r="P34" s="3729"/>
      <c r="Q34" s="1348">
        <f t="shared" si="11"/>
        <v>111</v>
      </c>
      <c r="R34" s="701" t="s">
        <v>14</v>
      </c>
      <c r="S34" s="702">
        <f t="shared" si="12"/>
        <v>100</v>
      </c>
      <c r="T34" s="701" t="s">
        <v>14</v>
      </c>
      <c r="U34" s="702">
        <f t="shared" si="13"/>
        <v>100</v>
      </c>
      <c r="V34" s="701" t="s">
        <v>14</v>
      </c>
      <c r="W34" s="702">
        <f t="shared" si="14"/>
        <v>100</v>
      </c>
      <c r="X34" s="1351"/>
      <c r="Y34" s="3729"/>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16"/>
      <c r="M35" s="2717"/>
      <c r="N35" s="2708"/>
      <c r="O35" s="2717"/>
      <c r="P35" s="3709" t="str">
        <f>A35</f>
        <v>成交单价（元/平方米）</v>
      </c>
      <c r="Q35" s="3709"/>
      <c r="R35" s="3777">
        <f>E35</f>
        <v>0</v>
      </c>
      <c r="S35" s="3777"/>
      <c r="T35" s="3777">
        <f>G35</f>
        <v>0</v>
      </c>
      <c r="U35" s="3777"/>
      <c r="V35" s="3777">
        <f>I35</f>
        <v>0</v>
      </c>
      <c r="W35" s="3777"/>
      <c r="X35" s="686"/>
      <c r="Y35" s="708"/>
      <c r="Z35" s="686"/>
      <c r="AA35" s="686"/>
      <c r="AB35" s="686"/>
      <c r="AC35" s="686"/>
    </row>
    <row r="36" spans="1:30" ht="15.75" thickBot="1">
      <c r="A36" s="434" t="s">
        <v>1793</v>
      </c>
      <c r="B36" s="435"/>
      <c r="C36" s="1156" t="e">
        <f>R37</f>
        <v>#DIV/0!</v>
      </c>
      <c r="D36" s="2310" t="s">
        <v>2138</v>
      </c>
      <c r="E36" s="1157" t="e">
        <f>R36</f>
        <v>#DIV/0!</v>
      </c>
      <c r="F36" s="2311"/>
      <c r="G36" s="1156" t="e">
        <f>T36</f>
        <v>#DIV/0!</v>
      </c>
      <c r="H36" s="2311"/>
      <c r="I36" s="1157" t="e">
        <f>V36</f>
        <v>#DIV/0!</v>
      </c>
      <c r="J36" s="2311"/>
      <c r="K36" s="2313">
        <f>F36+H36+J36</f>
        <v>0</v>
      </c>
      <c r="L36" s="2716"/>
      <c r="M36" s="2717"/>
      <c r="N36" s="2708"/>
      <c r="O36" s="2717"/>
      <c r="P36" s="3709" t="str">
        <f>A36</f>
        <v>比较价值（元/平方米）</v>
      </c>
      <c r="Q36" s="3709"/>
      <c r="R36" s="3777" t="e">
        <f>IF(F1="售价",ROUND(PRODUCT(R35,AA7:AA34),0),ROUND(PRODUCT(R35,AA7:AA34),1))</f>
        <v>#DIV/0!</v>
      </c>
      <c r="S36" s="3777"/>
      <c r="T36" s="3777" t="e">
        <f>IF(F1="售价",ROUND(PRODUCT(T35,AB7:AB34),0),ROUND(PRODUCT(T35,AB7:AB34),1))</f>
        <v>#DIV/0!</v>
      </c>
      <c r="U36" s="3777"/>
      <c r="V36" s="3777" t="e">
        <f>IF(F1="售价",ROUND(PRODUCT(V35,AC7:AC34),0),ROUND(PRODUCT(V35,AC7:AC34),1))</f>
        <v>#DIV/0!</v>
      </c>
      <c r="W36" s="3777"/>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6"/>
      <c r="M37" s="2717"/>
      <c r="N37" s="2717"/>
      <c r="O37" s="2717"/>
      <c r="P37" s="3731" t="str">
        <f>A37</f>
        <v>估价对象XX用房的比较价值（楼面单价，元/平方米）</v>
      </c>
      <c r="Q37" s="3732"/>
      <c r="R37" s="3813" t="e">
        <f>IF(F1="售价",ROUND(IF(D36="简单平均",AVERAGE(R36:W36),R36*F36+T36*H36+V36*J36),0),ROUND(IF(D36="简单平均",AVERAGE(R36:V36),R36*F36+T36*H36+V36*J36),1))</f>
        <v>#DIV/0!</v>
      </c>
      <c r="S37" s="3813"/>
      <c r="T37" s="3813"/>
      <c r="U37" s="3813"/>
      <c r="V37" s="3813"/>
      <c r="W37" s="3813"/>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80" t="str">
        <f>YEAR(C7)&amp;"-"&amp;MONTH(C7)</f>
        <v>2023-2</v>
      </c>
      <c r="D46" s="1181">
        <f>EDATE(C46,-1)</f>
        <v>44927</v>
      </c>
      <c r="E46" s="1181">
        <f t="shared" ref="E46:O46" si="16">EDATE(D46,-1)</f>
        <v>44896</v>
      </c>
      <c r="F46" s="1181">
        <f t="shared" si="16"/>
        <v>44866</v>
      </c>
      <c r="G46" s="1181">
        <f t="shared" si="16"/>
        <v>44835</v>
      </c>
      <c r="H46" s="1181">
        <f t="shared" si="16"/>
        <v>44805</v>
      </c>
      <c r="I46" s="1181">
        <f t="shared" si="16"/>
        <v>44774</v>
      </c>
      <c r="J46" s="1181">
        <f t="shared" si="16"/>
        <v>44743</v>
      </c>
      <c r="K46" s="1181">
        <f t="shared" si="16"/>
        <v>44713</v>
      </c>
      <c r="L46" s="1181">
        <f t="shared" si="16"/>
        <v>44682</v>
      </c>
      <c r="M46" s="1181">
        <f t="shared" si="16"/>
        <v>44652</v>
      </c>
      <c r="N46" s="1181">
        <f t="shared" si="16"/>
        <v>44621</v>
      </c>
      <c r="O46" s="1181">
        <f t="shared" si="16"/>
        <v>44593</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9">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10" t="s">
        <v>1770</v>
      </c>
      <c r="D4" s="3711"/>
      <c r="E4" s="3712" t="s">
        <v>1771</v>
      </c>
      <c r="F4" s="3713"/>
      <c r="G4" s="3710" t="s">
        <v>1772</v>
      </c>
      <c r="H4" s="3711"/>
      <c r="I4" s="3710" t="s">
        <v>1773</v>
      </c>
      <c r="J4" s="3711"/>
      <c r="K4" s="556" t="s">
        <v>1774</v>
      </c>
      <c r="L4" s="2707"/>
      <c r="M4" s="2708"/>
      <c r="N4" s="2708"/>
      <c r="O4" s="2708"/>
      <c r="P4" s="3714" t="s">
        <v>1775</v>
      </c>
      <c r="Q4" s="3715"/>
      <c r="R4" s="3697" t="s">
        <v>1771</v>
      </c>
      <c r="S4" s="3698"/>
      <c r="T4" s="3697" t="s">
        <v>1772</v>
      </c>
      <c r="U4" s="3698"/>
      <c r="V4" s="3722" t="s">
        <v>1773</v>
      </c>
      <c r="W4" s="3722"/>
      <c r="X4" s="1351"/>
      <c r="Y4" s="3697" t="s">
        <v>1775</v>
      </c>
      <c r="Z4" s="3698"/>
      <c r="AA4" s="3692" t="s">
        <v>1771</v>
      </c>
      <c r="AB4" s="3693" t="s">
        <v>1772</v>
      </c>
      <c r="AC4" s="3692" t="s">
        <v>1773</v>
      </c>
    </row>
    <row r="5" spans="1:29" ht="15">
      <c r="A5" s="355"/>
      <c r="B5" s="356"/>
      <c r="C5" s="3794" t="s">
        <v>1673</v>
      </c>
      <c r="D5" s="3795"/>
      <c r="E5" s="3792" t="s">
        <v>1674</v>
      </c>
      <c r="F5" s="3793"/>
      <c r="G5" s="3794" t="s">
        <v>1675</v>
      </c>
      <c r="H5" s="3795"/>
      <c r="I5" s="3794" t="s">
        <v>1676</v>
      </c>
      <c r="J5" s="3795"/>
      <c r="K5" s="556"/>
      <c r="L5" s="2707"/>
      <c r="M5" s="2708"/>
      <c r="N5" s="2708"/>
      <c r="O5" s="2708"/>
      <c r="P5" s="3716"/>
      <c r="Q5" s="3717"/>
      <c r="R5" s="3699"/>
      <c r="S5" s="3700"/>
      <c r="T5" s="3699"/>
      <c r="U5" s="3700"/>
      <c r="V5" s="3722"/>
      <c r="W5" s="3722"/>
      <c r="X5" s="1351"/>
      <c r="Y5" s="3699"/>
      <c r="Z5" s="3700"/>
      <c r="AA5" s="3693"/>
      <c r="AB5" s="3693"/>
      <c r="AC5" s="3693"/>
    </row>
    <row r="6" spans="1:29" ht="15.75" thickBot="1">
      <c r="A6" s="357"/>
      <c r="B6" s="358"/>
      <c r="C6" s="3814" t="s">
        <v>1919</v>
      </c>
      <c r="D6" s="3724"/>
      <c r="E6" s="3815" t="s">
        <v>1919</v>
      </c>
      <c r="F6" s="3708"/>
      <c r="G6" s="3814" t="s">
        <v>1919</v>
      </c>
      <c r="H6" s="3724"/>
      <c r="I6" s="3814" t="s">
        <v>1919</v>
      </c>
      <c r="J6" s="3724"/>
      <c r="K6" s="556" t="s">
        <v>1678</v>
      </c>
      <c r="L6" s="2707"/>
      <c r="M6" s="2708"/>
      <c r="N6" s="2708"/>
      <c r="O6" s="2708"/>
      <c r="P6" s="3718"/>
      <c r="Q6" s="3719"/>
      <c r="R6" s="3699"/>
      <c r="S6" s="3700"/>
      <c r="T6" s="3720"/>
      <c r="U6" s="3721"/>
      <c r="V6" s="3722"/>
      <c r="W6" s="3722"/>
      <c r="X6" s="1351"/>
      <c r="Y6" s="3720"/>
      <c r="Z6" s="3721"/>
      <c r="AA6" s="3694"/>
      <c r="AB6" s="3694"/>
      <c r="AC6" s="3694"/>
    </row>
    <row r="7" spans="1:29" s="108" customFormat="1" ht="15.75" thickBot="1">
      <c r="A7" s="359" t="s">
        <v>1679</v>
      </c>
      <c r="B7" s="360"/>
      <c r="C7" s="361">
        <f>'数据-取费表'!B2</f>
        <v>44970</v>
      </c>
      <c r="D7" s="362">
        <v>100</v>
      </c>
      <c r="E7" s="363"/>
      <c r="F7" s="364">
        <f>SUMIF(65:65,YEAR(E7)&amp;"-"&amp;INT((MONTH(E7)+2)/3),66:66)</f>
        <v>0</v>
      </c>
      <c r="G7" s="1967"/>
      <c r="H7" s="362">
        <f>SUMIF(65:65,YEAR(G7)&amp;"-"&amp;INT((MONTH(G7)+2)/3),66:66)</f>
        <v>0</v>
      </c>
      <c r="I7" s="1967"/>
      <c r="J7" s="362">
        <f>SUMIF(65:65,YEAR(I7)&amp;"-"&amp;INT((MONTH(I7)+2)/3),66:66)</f>
        <v>0</v>
      </c>
      <c r="K7" s="557"/>
      <c r="L7" s="2709"/>
      <c r="M7" s="2710"/>
      <c r="N7" s="2710"/>
      <c r="O7" s="2710"/>
      <c r="P7" s="3695" t="s">
        <v>1680</v>
      </c>
      <c r="Q7" s="3725"/>
      <c r="R7" s="697" t="s">
        <v>14</v>
      </c>
      <c r="S7" s="698">
        <f t="shared" ref="S7:S15" si="0">F7</f>
        <v>0</v>
      </c>
      <c r="T7" s="697" t="s">
        <v>14</v>
      </c>
      <c r="U7" s="698">
        <f t="shared" ref="U7:U15" si="1">H7</f>
        <v>0</v>
      </c>
      <c r="V7" s="697" t="s">
        <v>14</v>
      </c>
      <c r="W7" s="698">
        <f t="shared" ref="W7:W15" si="2">J7</f>
        <v>0</v>
      </c>
      <c r="X7" s="699"/>
      <c r="Y7" s="3695" t="s">
        <v>1680</v>
      </c>
      <c r="Z7" s="3696"/>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695" t="s">
        <v>1683</v>
      </c>
      <c r="Q8" s="3696"/>
      <c r="R8" s="697" t="s">
        <v>14</v>
      </c>
      <c r="S8" s="698">
        <f t="shared" si="0"/>
        <v>0</v>
      </c>
      <c r="T8" s="697" t="s">
        <v>14</v>
      </c>
      <c r="U8" s="698">
        <f t="shared" si="1"/>
        <v>0</v>
      </c>
      <c r="V8" s="697" t="s">
        <v>14</v>
      </c>
      <c r="W8" s="698">
        <f t="shared" si="2"/>
        <v>0</v>
      </c>
      <c r="X8" s="699"/>
      <c r="Y8" s="3695" t="s">
        <v>1683</v>
      </c>
      <c r="Z8" s="3696"/>
      <c r="AA8" s="700" t="e">
        <f t="shared" ref="AA8:AA40" si="3">D8/F8</f>
        <v>#DIV/0!</v>
      </c>
      <c r="AB8" s="700" t="e">
        <f t="shared" ref="AB8:AB40" si="4">D8/H8</f>
        <v>#DIV/0!</v>
      </c>
      <c r="AC8" s="700" t="e">
        <f t="shared" ref="AC8:AC40" si="5">D8/J8</f>
        <v>#DIV/0!</v>
      </c>
    </row>
    <row r="9" spans="1:29" s="108" customFormat="1">
      <c r="A9" s="366" t="s">
        <v>1684</v>
      </c>
      <c r="B9" s="63" t="s">
        <v>1685</v>
      </c>
      <c r="C9" s="1970"/>
      <c r="D9" s="124">
        <v>100</v>
      </c>
      <c r="E9" s="1970"/>
      <c r="F9" s="124">
        <f>SUMIF(70:70,E9,71:71)-SUMIF(70:70,C9,71:71)+100</f>
        <v>100</v>
      </c>
      <c r="G9" s="1970"/>
      <c r="H9" s="124">
        <f>SUMIF(70:70,G9,71:71)-SUMIF(70:70,C9,71:71)+100</f>
        <v>100</v>
      </c>
      <c r="I9" s="1970"/>
      <c r="J9" s="124">
        <f>SUMIF(70:70,I9,71:71)-SUMIF(70:70,C9,71:71)+100</f>
        <v>100</v>
      </c>
      <c r="K9" s="557"/>
      <c r="L9" s="2709"/>
      <c r="M9" s="2710"/>
      <c r="N9" s="2710"/>
      <c r="O9" s="2764"/>
      <c r="P9" s="3709" t="s">
        <v>1686</v>
      </c>
      <c r="Q9" s="1339" t="str">
        <f t="shared" ref="Q9:Q15" si="6">B9</f>
        <v>用途</v>
      </c>
      <c r="R9" s="697" t="s">
        <v>14</v>
      </c>
      <c r="S9" s="698">
        <f t="shared" si="0"/>
        <v>100</v>
      </c>
      <c r="T9" s="697" t="s">
        <v>14</v>
      </c>
      <c r="U9" s="698">
        <f t="shared" si="1"/>
        <v>100</v>
      </c>
      <c r="V9" s="697" t="s">
        <v>14</v>
      </c>
      <c r="W9" s="698">
        <f t="shared" si="2"/>
        <v>100</v>
      </c>
      <c r="X9" s="699"/>
      <c r="Y9" s="3660"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1"/>
      <c r="M10" s="2712"/>
      <c r="N10" s="2712"/>
      <c r="O10" s="2765"/>
      <c r="P10" s="3709"/>
      <c r="Q10" s="1339" t="str">
        <f t="shared" si="6"/>
        <v>土地使用年限（年）</v>
      </c>
      <c r="R10" s="697" t="s">
        <v>14</v>
      </c>
      <c r="S10" s="698">
        <f t="shared" si="0"/>
        <v>100</v>
      </c>
      <c r="T10" s="697" t="s">
        <v>14</v>
      </c>
      <c r="U10" s="698">
        <f t="shared" si="1"/>
        <v>100</v>
      </c>
      <c r="V10" s="697" t="s">
        <v>14</v>
      </c>
      <c r="W10" s="698">
        <f t="shared" si="2"/>
        <v>100</v>
      </c>
      <c r="X10" s="699"/>
      <c r="Y10" s="3660"/>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3"/>
      <c r="M11" s="2708"/>
      <c r="N11" s="2708"/>
      <c r="O11" s="2766"/>
      <c r="P11" s="3709"/>
      <c r="Q11" s="1339" t="str">
        <f t="shared" si="6"/>
        <v>容积率</v>
      </c>
      <c r="R11" s="697" t="s">
        <v>14</v>
      </c>
      <c r="S11" s="698" t="e">
        <f t="shared" si="0"/>
        <v>#N/A</v>
      </c>
      <c r="T11" s="697" t="s">
        <v>14</v>
      </c>
      <c r="U11" s="698" t="e">
        <f t="shared" si="1"/>
        <v>#N/A</v>
      </c>
      <c r="V11" s="697" t="s">
        <v>14</v>
      </c>
      <c r="W11" s="698" t="e">
        <f t="shared" si="2"/>
        <v>#N/A</v>
      </c>
      <c r="X11" s="699"/>
      <c r="Y11" s="3660"/>
      <c r="Z11" s="52" t="str">
        <f t="shared" si="7"/>
        <v>容积率</v>
      </c>
      <c r="AA11" s="700" t="e">
        <f t="shared" si="3"/>
        <v>#N/A</v>
      </c>
      <c r="AB11" s="700" t="e">
        <f t="shared" si="4"/>
        <v>#N/A</v>
      </c>
      <c r="AC11" s="700" t="e">
        <f t="shared" si="5"/>
        <v>#N/A</v>
      </c>
    </row>
    <row r="12" spans="1:29" s="108" customFormat="1" ht="15">
      <c r="A12" s="379"/>
      <c r="B12" s="1888">
        <v>111</v>
      </c>
      <c r="C12" s="380"/>
      <c r="D12" s="381">
        <v>100</v>
      </c>
      <c r="E12" s="495"/>
      <c r="F12" s="125">
        <f>SUMIF(77:77,E12,78:78)-SUMIF(77:77,C12,78:78)+100</f>
        <v>100</v>
      </c>
      <c r="G12" s="619"/>
      <c r="H12" s="125">
        <f>SUMIF(77:77,G12,78:78)-SUMIF(77:77,C12,78:78)+100</f>
        <v>100</v>
      </c>
      <c r="I12" s="495"/>
      <c r="J12" s="125">
        <f>SUMIF(77:77,I12,78:78)-SUMIF(77:77,C12,78:78)+100</f>
        <v>100</v>
      </c>
      <c r="K12" s="617"/>
      <c r="L12" s="2709"/>
      <c r="M12" s="2710"/>
      <c r="N12" s="2710"/>
      <c r="O12" s="2764"/>
      <c r="P12" s="3709"/>
      <c r="Q12" s="1339">
        <f t="shared" si="6"/>
        <v>111</v>
      </c>
      <c r="R12" s="697" t="s">
        <v>14</v>
      </c>
      <c r="S12" s="698">
        <f t="shared" si="0"/>
        <v>100</v>
      </c>
      <c r="T12" s="697" t="s">
        <v>14</v>
      </c>
      <c r="U12" s="698">
        <f t="shared" si="1"/>
        <v>100</v>
      </c>
      <c r="V12" s="697" t="s">
        <v>14</v>
      </c>
      <c r="W12" s="698">
        <f t="shared" si="2"/>
        <v>100</v>
      </c>
      <c r="X12" s="699"/>
      <c r="Y12" s="3660"/>
      <c r="Z12" s="52">
        <f t="shared" si="7"/>
        <v>111</v>
      </c>
      <c r="AA12" s="700">
        <f>D12/F12</f>
        <v>1</v>
      </c>
      <c r="AB12" s="700">
        <f>D12/H12</f>
        <v>1</v>
      </c>
      <c r="AC12" s="700">
        <f>D12/J12</f>
        <v>1</v>
      </c>
    </row>
    <row r="13" spans="1:29" ht="15">
      <c r="A13" s="376"/>
      <c r="B13" s="1888">
        <v>111</v>
      </c>
      <c r="C13" s="382"/>
      <c r="D13" s="383">
        <v>100</v>
      </c>
      <c r="E13" s="495"/>
      <c r="F13" s="125">
        <f>SUMIF(79:79,E13,80:80)-SUMIF(79:79,C13,80:80)+100</f>
        <v>100</v>
      </c>
      <c r="G13" s="619"/>
      <c r="H13" s="383">
        <f>SUMIF(79:79,G13,80:80)-SUMIF(79:79,C13,80:80)+100</f>
        <v>100</v>
      </c>
      <c r="I13" s="495"/>
      <c r="J13" s="383">
        <f>SUMIF(79:79,I13,80:80)-SUMIF(79:79,C13,80:80)+100</f>
        <v>100</v>
      </c>
      <c r="K13" s="617"/>
      <c r="L13" s="2714"/>
      <c r="M13" s="2708"/>
      <c r="N13" s="2708"/>
      <c r="O13" s="2766"/>
      <c r="P13" s="3709"/>
      <c r="Q13" s="1339">
        <f t="shared" si="6"/>
        <v>111</v>
      </c>
      <c r="R13" s="697" t="s">
        <v>14</v>
      </c>
      <c r="S13" s="698">
        <f t="shared" si="0"/>
        <v>100</v>
      </c>
      <c r="T13" s="697" t="s">
        <v>14</v>
      </c>
      <c r="U13" s="698">
        <f t="shared" si="1"/>
        <v>100</v>
      </c>
      <c r="V13" s="697" t="s">
        <v>14</v>
      </c>
      <c r="W13" s="698">
        <f t="shared" si="2"/>
        <v>100</v>
      </c>
      <c r="X13" s="699"/>
      <c r="Y13" s="3660"/>
      <c r="Z13" s="52">
        <f t="shared" si="7"/>
        <v>111</v>
      </c>
      <c r="AA13" s="700">
        <f t="shared" si="3"/>
        <v>1</v>
      </c>
      <c r="AB13" s="700">
        <f t="shared" si="4"/>
        <v>1</v>
      </c>
      <c r="AC13" s="700">
        <f t="shared" si="5"/>
        <v>1</v>
      </c>
    </row>
    <row r="14" spans="1:29" ht="15.75" thickBot="1">
      <c r="A14" s="384"/>
      <c r="B14" s="1890">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09"/>
      <c r="Q14" s="1339">
        <f t="shared" si="6"/>
        <v>111</v>
      </c>
      <c r="R14" s="697" t="s">
        <v>14</v>
      </c>
      <c r="S14" s="698">
        <f t="shared" si="0"/>
        <v>100</v>
      </c>
      <c r="T14" s="697" t="s">
        <v>14</v>
      </c>
      <c r="U14" s="698">
        <f t="shared" si="1"/>
        <v>100</v>
      </c>
      <c r="V14" s="697" t="s">
        <v>14</v>
      </c>
      <c r="W14" s="698">
        <f t="shared" si="2"/>
        <v>100</v>
      </c>
      <c r="X14" s="699"/>
      <c r="Y14" s="3660"/>
      <c r="Z14" s="52">
        <f t="shared" si="7"/>
        <v>111</v>
      </c>
      <c r="AA14" s="700">
        <f t="shared" si="3"/>
        <v>1</v>
      </c>
      <c r="AB14" s="700">
        <f t="shared" si="4"/>
        <v>1</v>
      </c>
      <c r="AC14" s="700">
        <f t="shared" si="5"/>
        <v>1</v>
      </c>
    </row>
    <row r="15" spans="1:29" ht="57">
      <c r="A15" s="388" t="s">
        <v>1690</v>
      </c>
      <c r="B15" s="574" t="s">
        <v>1920</v>
      </c>
      <c r="C15" s="1964"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26" t="s">
        <v>1691</v>
      </c>
      <c r="Q15" s="1348" t="str">
        <f t="shared" si="6"/>
        <v>产业集聚程度</v>
      </c>
      <c r="R15" s="701" t="s">
        <v>14</v>
      </c>
      <c r="S15" s="702">
        <f t="shared" si="0"/>
        <v>100</v>
      </c>
      <c r="T15" s="701" t="s">
        <v>14</v>
      </c>
      <c r="U15" s="702">
        <f t="shared" si="1"/>
        <v>100</v>
      </c>
      <c r="V15" s="701" t="s">
        <v>14</v>
      </c>
      <c r="W15" s="702">
        <f t="shared" si="2"/>
        <v>100</v>
      </c>
      <c r="X15" s="1351"/>
      <c r="Y15" s="3726" t="s">
        <v>1691</v>
      </c>
      <c r="Z15" s="1352" t="str">
        <f t="shared" si="7"/>
        <v>产业集聚程度</v>
      </c>
      <c r="AA15" s="1349">
        <f t="shared" si="3"/>
        <v>1</v>
      </c>
      <c r="AB15" s="1349">
        <f t="shared" si="4"/>
        <v>1</v>
      </c>
      <c r="AC15" s="1349">
        <f t="shared" si="5"/>
        <v>1</v>
      </c>
    </row>
    <row r="16" spans="1:29" ht="15">
      <c r="A16" s="376"/>
      <c r="B16" s="575"/>
      <c r="C16" s="395"/>
      <c r="D16" s="396"/>
      <c r="E16" s="1899"/>
      <c r="F16" s="396"/>
      <c r="G16" s="1899"/>
      <c r="H16" s="398"/>
      <c r="I16" s="1899"/>
      <c r="J16" s="396"/>
      <c r="K16" s="617"/>
      <c r="L16" s="2714"/>
      <c r="M16" s="2708"/>
      <c r="N16" s="2708"/>
      <c r="O16" s="2766"/>
      <c r="P16" s="3727"/>
      <c r="Q16" s="1348"/>
      <c r="R16" s="701"/>
      <c r="S16" s="702"/>
      <c r="T16" s="701"/>
      <c r="U16" s="702"/>
      <c r="V16" s="701"/>
      <c r="W16" s="702"/>
      <c r="X16" s="1351"/>
      <c r="Y16" s="3727"/>
      <c r="Z16" s="1352"/>
      <c r="AA16" s="1349">
        <v>1</v>
      </c>
      <c r="AB16" s="1349">
        <v>1</v>
      </c>
      <c r="AC16" s="1349">
        <v>1</v>
      </c>
    </row>
    <row r="17" spans="1:29" ht="85.5">
      <c r="A17" s="376"/>
      <c r="B17" s="576" t="s">
        <v>1833</v>
      </c>
      <c r="C17" s="1895"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27"/>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349">
        <f t="shared" si="5"/>
        <v>1</v>
      </c>
    </row>
    <row r="18" spans="1:29" ht="15">
      <c r="A18" s="376"/>
      <c r="B18" s="577"/>
      <c r="C18" s="395"/>
      <c r="D18" s="396"/>
      <c r="E18" s="1893"/>
      <c r="F18" s="396"/>
      <c r="G18" s="1893"/>
      <c r="H18" s="396"/>
      <c r="I18" s="1892"/>
      <c r="J18" s="396"/>
      <c r="K18" s="617"/>
      <c r="L18" s="2714"/>
      <c r="M18" s="2708"/>
      <c r="N18" s="2708"/>
      <c r="O18" s="2766"/>
      <c r="P18" s="3727"/>
      <c r="Q18" s="1348"/>
      <c r="R18" s="701"/>
      <c r="S18" s="702"/>
      <c r="T18" s="701"/>
      <c r="U18" s="702"/>
      <c r="V18" s="701"/>
      <c r="W18" s="702"/>
      <c r="X18" s="1351"/>
      <c r="Y18" s="3727"/>
      <c r="Z18" s="1352"/>
      <c r="AA18" s="1349">
        <v>1</v>
      </c>
      <c r="AB18" s="1349">
        <v>1</v>
      </c>
      <c r="AC18" s="1349">
        <v>1</v>
      </c>
    </row>
    <row r="19" spans="1:29" ht="15">
      <c r="A19" s="376"/>
      <c r="B19" s="576" t="s">
        <v>1871</v>
      </c>
      <c r="C19" s="1895">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27"/>
      <c r="Q19" s="1348" t="str">
        <f t="shared" ref="Q19:Q33" si="8">B19</f>
        <v>区域土地利用方向</v>
      </c>
      <c r="R19" s="701" t="s">
        <v>14</v>
      </c>
      <c r="S19" s="702">
        <f>F19</f>
        <v>100</v>
      </c>
      <c r="T19" s="701" t="s">
        <v>14</v>
      </c>
      <c r="U19" s="702">
        <f>H19</f>
        <v>100</v>
      </c>
      <c r="V19" s="701" t="s">
        <v>14</v>
      </c>
      <c r="W19" s="702">
        <f>J19</f>
        <v>100</v>
      </c>
      <c r="X19" s="1351"/>
      <c r="Y19" s="3727"/>
      <c r="Z19" s="1352" t="str">
        <f>Q19</f>
        <v>区域土地利用方向</v>
      </c>
      <c r="AA19" s="1349">
        <f t="shared" si="3"/>
        <v>1</v>
      </c>
      <c r="AB19" s="1349">
        <f t="shared" si="4"/>
        <v>1</v>
      </c>
      <c r="AC19" s="1349">
        <f t="shared" si="5"/>
        <v>1</v>
      </c>
    </row>
    <row r="20" spans="1:29" ht="15">
      <c r="A20" s="355"/>
      <c r="B20" s="577"/>
      <c r="C20" s="395"/>
      <c r="D20" s="396"/>
      <c r="E20" s="1893"/>
      <c r="F20" s="396"/>
      <c r="G20" s="1893"/>
      <c r="H20" s="396"/>
      <c r="I20" s="1893"/>
      <c r="J20" s="396"/>
      <c r="K20" s="736"/>
      <c r="L20" s="2714"/>
      <c r="M20" s="2708"/>
      <c r="N20" s="2708"/>
      <c r="O20" s="2766"/>
      <c r="P20" s="3727"/>
      <c r="Q20" s="1348"/>
      <c r="R20" s="701"/>
      <c r="S20" s="702"/>
      <c r="T20" s="701"/>
      <c r="U20" s="702"/>
      <c r="V20" s="701"/>
      <c r="W20" s="702"/>
      <c r="X20" s="1351"/>
      <c r="Y20" s="3727"/>
      <c r="Z20" s="1352"/>
      <c r="AA20" s="1349"/>
      <c r="AB20" s="1349"/>
      <c r="AC20" s="1349"/>
    </row>
    <row r="21" spans="1:29" ht="71.25">
      <c r="A21" s="355"/>
      <c r="B21" s="576" t="s">
        <v>1921</v>
      </c>
      <c r="C21" s="1895"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27"/>
      <c r="Q21" s="1348" t="str">
        <f t="shared" si="8"/>
        <v>环境状况</v>
      </c>
      <c r="R21" s="701" t="s">
        <v>14</v>
      </c>
      <c r="S21" s="702">
        <f>F21</f>
        <v>100</v>
      </c>
      <c r="T21" s="701" t="s">
        <v>14</v>
      </c>
      <c r="U21" s="702">
        <f>H21</f>
        <v>100</v>
      </c>
      <c r="V21" s="701" t="s">
        <v>14</v>
      </c>
      <c r="W21" s="702">
        <f>J21</f>
        <v>100</v>
      </c>
      <c r="X21" s="1351"/>
      <c r="Y21" s="3727"/>
      <c r="Z21" s="1352" t="str">
        <f>Q21</f>
        <v>环境状况</v>
      </c>
      <c r="AA21" s="1349">
        <f t="shared" si="3"/>
        <v>1</v>
      </c>
      <c r="AB21" s="1349">
        <f t="shared" si="4"/>
        <v>1</v>
      </c>
      <c r="AC21" s="1349">
        <f t="shared" si="5"/>
        <v>1</v>
      </c>
    </row>
    <row r="22" spans="1:29" ht="15">
      <c r="A22" s="355"/>
      <c r="B22" s="577"/>
      <c r="C22" s="395"/>
      <c r="D22" s="396"/>
      <c r="E22" s="1899"/>
      <c r="F22" s="396"/>
      <c r="G22" s="1899"/>
      <c r="H22" s="396"/>
      <c r="I22" s="395"/>
      <c r="J22" s="396"/>
      <c r="K22" s="617"/>
      <c r="L22" s="2714"/>
      <c r="M22" s="2708"/>
      <c r="N22" s="2708"/>
      <c r="O22" s="2766"/>
      <c r="P22" s="3727"/>
      <c r="Q22" s="1348"/>
      <c r="R22" s="701"/>
      <c r="S22" s="702"/>
      <c r="T22" s="701"/>
      <c r="U22" s="702"/>
      <c r="V22" s="701"/>
      <c r="W22" s="702"/>
      <c r="X22" s="1351"/>
      <c r="Y22" s="3727"/>
      <c r="Z22" s="1352"/>
      <c r="AA22" s="1349">
        <v>1</v>
      </c>
      <c r="AB22" s="1349">
        <v>1</v>
      </c>
      <c r="AC22" s="1349">
        <v>1</v>
      </c>
    </row>
    <row r="23" spans="1:29" s="108" customFormat="1" ht="42.75">
      <c r="A23" s="594"/>
      <c r="B23" s="578" t="s">
        <v>1778</v>
      </c>
      <c r="C23" s="1895"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27"/>
      <c r="Q23" s="1339" t="str">
        <f t="shared" si="8"/>
        <v>公共配套设施</v>
      </c>
      <c r="R23" s="697" t="s">
        <v>14</v>
      </c>
      <c r="S23" s="698">
        <f>F23</f>
        <v>100</v>
      </c>
      <c r="T23" s="697" t="s">
        <v>14</v>
      </c>
      <c r="U23" s="698">
        <f>H23</f>
        <v>100</v>
      </c>
      <c r="V23" s="697" t="s">
        <v>14</v>
      </c>
      <c r="W23" s="698">
        <f>J23</f>
        <v>100</v>
      </c>
      <c r="X23" s="699"/>
      <c r="Y23" s="3727"/>
      <c r="Z23" s="52" t="str">
        <f>Q23</f>
        <v>公共配套设施</v>
      </c>
      <c r="AA23" s="1349">
        <f>D23/F23</f>
        <v>1</v>
      </c>
      <c r="AB23" s="1349">
        <f>D23/H23</f>
        <v>1</v>
      </c>
      <c r="AC23" s="1349">
        <f>D23/J23</f>
        <v>1</v>
      </c>
    </row>
    <row r="24" spans="1:29" s="108" customFormat="1" ht="15">
      <c r="A24" s="594"/>
      <c r="B24" s="577"/>
      <c r="C24" s="1971"/>
      <c r="D24" s="396"/>
      <c r="E24" s="1899"/>
      <c r="F24" s="396"/>
      <c r="G24" s="1899"/>
      <c r="H24" s="396"/>
      <c r="I24" s="395"/>
      <c r="J24" s="396"/>
      <c r="K24" s="617"/>
      <c r="L24" s="2709"/>
      <c r="M24" s="2710"/>
      <c r="N24" s="2710"/>
      <c r="O24" s="2764"/>
      <c r="P24" s="3727"/>
      <c r="Q24" s="1339"/>
      <c r="R24" s="697"/>
      <c r="S24" s="698"/>
      <c r="T24" s="697"/>
      <c r="U24" s="698"/>
      <c r="V24" s="697"/>
      <c r="W24" s="698"/>
      <c r="X24" s="699"/>
      <c r="Y24" s="3727"/>
      <c r="Z24" s="52"/>
      <c r="AA24" s="700">
        <v>1</v>
      </c>
      <c r="AB24" s="700">
        <v>1</v>
      </c>
      <c r="AC24" s="700">
        <v>1</v>
      </c>
    </row>
    <row r="25" spans="1:29" s="108" customFormat="1" ht="28.5">
      <c r="A25" s="594"/>
      <c r="B25" s="578" t="s">
        <v>1779</v>
      </c>
      <c r="C25" s="1895"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27"/>
      <c r="Q25" s="1339" t="str">
        <f t="shared" ref="Q25" si="9">B25</f>
        <v>基础设施水平</v>
      </c>
      <c r="R25" s="697" t="s">
        <v>14</v>
      </c>
      <c r="S25" s="698">
        <f>F25</f>
        <v>100</v>
      </c>
      <c r="T25" s="697" t="s">
        <v>14</v>
      </c>
      <c r="U25" s="698">
        <f>H25</f>
        <v>100</v>
      </c>
      <c r="V25" s="697" t="s">
        <v>14</v>
      </c>
      <c r="W25" s="698">
        <f>J25</f>
        <v>100</v>
      </c>
      <c r="X25" s="699"/>
      <c r="Y25" s="3727"/>
      <c r="Z25" s="52" t="str">
        <f>Q25</f>
        <v>基础设施水平</v>
      </c>
      <c r="AA25" s="1349">
        <f>D25/F25</f>
        <v>1</v>
      </c>
      <c r="AB25" s="1349">
        <f>D25/H25</f>
        <v>1</v>
      </c>
      <c r="AC25" s="1349">
        <f>D25/J25</f>
        <v>1</v>
      </c>
    </row>
    <row r="26" spans="1:29" s="108" customFormat="1" ht="15">
      <c r="A26" s="594"/>
      <c r="B26" s="577"/>
      <c r="C26" s="1971"/>
      <c r="D26" s="396"/>
      <c r="E26" s="1972"/>
      <c r="F26" s="396"/>
      <c r="G26" s="1972"/>
      <c r="H26" s="396"/>
      <c r="I26" s="1972"/>
      <c r="J26" s="396"/>
      <c r="K26" s="617"/>
      <c r="L26" s="2709"/>
      <c r="M26" s="2710"/>
      <c r="N26" s="2710"/>
      <c r="O26" s="2764"/>
      <c r="P26" s="3727"/>
      <c r="Q26" s="1339"/>
      <c r="R26" s="697"/>
      <c r="S26" s="698"/>
      <c r="T26" s="697"/>
      <c r="U26" s="698"/>
      <c r="V26" s="697"/>
      <c r="W26" s="698"/>
      <c r="X26" s="699"/>
      <c r="Y26" s="3727"/>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27"/>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27"/>
      <c r="Z27" s="1352" t="str">
        <f t="shared" ref="Z27:Z40" si="13">Q27</f>
        <v>临街状况</v>
      </c>
      <c r="AA27" s="1349">
        <f t="shared" si="3"/>
        <v>1</v>
      </c>
      <c r="AB27" s="1349">
        <f t="shared" si="4"/>
        <v>1</v>
      </c>
      <c r="AC27" s="1349">
        <f t="shared" si="5"/>
        <v>1</v>
      </c>
    </row>
    <row r="28" spans="1:29" ht="27">
      <c r="A28" s="376"/>
      <c r="B28" s="578" t="s">
        <v>1815</v>
      </c>
      <c r="C28" s="1984">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27"/>
      <c r="Q28" s="1348" t="str">
        <f t="shared" si="8"/>
        <v>毗邻道路的类型与等级</v>
      </c>
      <c r="R28" s="701" t="s">
        <v>14</v>
      </c>
      <c r="S28" s="702">
        <f t="shared" si="10"/>
        <v>100</v>
      </c>
      <c r="T28" s="701" t="s">
        <v>14</v>
      </c>
      <c r="U28" s="702">
        <f t="shared" si="11"/>
        <v>100</v>
      </c>
      <c r="V28" s="701" t="s">
        <v>14</v>
      </c>
      <c r="W28" s="702">
        <f t="shared" si="12"/>
        <v>100</v>
      </c>
      <c r="X28" s="1351"/>
      <c r="Y28" s="3727"/>
      <c r="Z28" s="1352" t="str">
        <f t="shared" si="13"/>
        <v>毗邻道路的类型与等级</v>
      </c>
      <c r="AA28" s="1349">
        <f t="shared" si="3"/>
        <v>1</v>
      </c>
      <c r="AB28" s="1349">
        <f t="shared" si="4"/>
        <v>1</v>
      </c>
      <c r="AC28" s="1349">
        <f t="shared" si="5"/>
        <v>1</v>
      </c>
    </row>
    <row r="29" spans="1:29" ht="15">
      <c r="A29" s="376"/>
      <c r="B29" s="577"/>
      <c r="C29" s="395"/>
      <c r="D29" s="396"/>
      <c r="E29" s="1899"/>
      <c r="F29" s="396"/>
      <c r="G29" s="1899"/>
      <c r="H29" s="396"/>
      <c r="I29" s="1899"/>
      <c r="J29" s="396"/>
      <c r="K29" s="559"/>
      <c r="L29" s="2714"/>
      <c r="M29" s="2708"/>
      <c r="N29" s="2708"/>
      <c r="O29" s="2766"/>
      <c r="P29" s="3727"/>
      <c r="Q29" s="1348"/>
      <c r="R29" s="701"/>
      <c r="S29" s="702"/>
      <c r="T29" s="701"/>
      <c r="U29" s="702"/>
      <c r="V29" s="701"/>
      <c r="W29" s="702"/>
      <c r="X29" s="1351"/>
      <c r="Y29" s="3727"/>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27"/>
      <c r="Q30" s="1348" t="str">
        <f t="shared" si="8"/>
        <v>土地级别</v>
      </c>
      <c r="R30" s="701" t="s">
        <v>14</v>
      </c>
      <c r="S30" s="702">
        <f t="shared" si="10"/>
        <v>100</v>
      </c>
      <c r="T30" s="701" t="s">
        <v>14</v>
      </c>
      <c r="U30" s="702">
        <f t="shared" si="11"/>
        <v>100</v>
      </c>
      <c r="V30" s="701" t="s">
        <v>14</v>
      </c>
      <c r="W30" s="702">
        <f t="shared" si="12"/>
        <v>100</v>
      </c>
      <c r="X30" s="1351"/>
      <c r="Y30" s="3727"/>
      <c r="Z30" s="1352" t="str">
        <f t="shared" si="13"/>
        <v>土地级别</v>
      </c>
      <c r="AA30" s="1349">
        <f t="shared" si="3"/>
        <v>1</v>
      </c>
      <c r="AB30" s="1349">
        <f t="shared" si="4"/>
        <v>1</v>
      </c>
      <c r="AC30" s="1349">
        <f t="shared" si="5"/>
        <v>1</v>
      </c>
    </row>
    <row r="31" spans="1:29" ht="15">
      <c r="A31" s="355"/>
      <c r="B31" s="1959">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27"/>
      <c r="Q31" s="1348">
        <f t="shared" si="8"/>
        <v>111</v>
      </c>
      <c r="R31" s="701" t="s">
        <v>14</v>
      </c>
      <c r="S31" s="702">
        <f t="shared" si="10"/>
        <v>100</v>
      </c>
      <c r="T31" s="701" t="s">
        <v>14</v>
      </c>
      <c r="U31" s="702">
        <f t="shared" si="11"/>
        <v>100</v>
      </c>
      <c r="V31" s="701" t="s">
        <v>14</v>
      </c>
      <c r="W31" s="702">
        <f t="shared" si="12"/>
        <v>100</v>
      </c>
      <c r="X31" s="1351"/>
      <c r="Y31" s="3727"/>
      <c r="Z31" s="1352">
        <f t="shared" si="13"/>
        <v>111</v>
      </c>
      <c r="AA31" s="1349">
        <f t="shared" si="3"/>
        <v>1</v>
      </c>
      <c r="AB31" s="1349">
        <f t="shared" si="4"/>
        <v>1</v>
      </c>
      <c r="AC31" s="1349">
        <f t="shared" si="5"/>
        <v>1</v>
      </c>
    </row>
    <row r="32" spans="1:29" ht="15">
      <c r="A32" s="620"/>
      <c r="B32" s="1985">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728" t="s">
        <v>1696</v>
      </c>
      <c r="Q32" s="1348">
        <f t="shared" si="8"/>
        <v>111</v>
      </c>
      <c r="R32" s="701" t="s">
        <v>14</v>
      </c>
      <c r="S32" s="702">
        <f t="shared" si="10"/>
        <v>100</v>
      </c>
      <c r="T32" s="701" t="s">
        <v>14</v>
      </c>
      <c r="U32" s="702">
        <f t="shared" si="11"/>
        <v>100</v>
      </c>
      <c r="V32" s="701" t="s">
        <v>14</v>
      </c>
      <c r="W32" s="702">
        <f t="shared" si="12"/>
        <v>100</v>
      </c>
      <c r="X32" s="1351"/>
      <c r="Y32" s="3729" t="s">
        <v>1696</v>
      </c>
      <c r="Z32" s="1352">
        <f t="shared" si="13"/>
        <v>111</v>
      </c>
      <c r="AA32" s="1349">
        <f t="shared" si="3"/>
        <v>1</v>
      </c>
      <c r="AB32" s="1349">
        <f t="shared" si="4"/>
        <v>1</v>
      </c>
      <c r="AC32" s="1349">
        <f t="shared" si="5"/>
        <v>1</v>
      </c>
    </row>
    <row r="33" spans="1:31" s="419" customFormat="1" ht="15.75" thickBot="1">
      <c r="A33" s="621"/>
      <c r="B33" s="1986">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29"/>
      <c r="Q33" s="1348">
        <f t="shared" si="8"/>
        <v>111</v>
      </c>
      <c r="R33" s="704" t="s">
        <v>14</v>
      </c>
      <c r="S33" s="705">
        <f t="shared" si="10"/>
        <v>100</v>
      </c>
      <c r="T33" s="704" t="s">
        <v>14</v>
      </c>
      <c r="U33" s="705">
        <f t="shared" si="11"/>
        <v>100</v>
      </c>
      <c r="V33" s="704" t="s">
        <v>14</v>
      </c>
      <c r="W33" s="705">
        <f t="shared" si="12"/>
        <v>100</v>
      </c>
      <c r="X33" s="706"/>
      <c r="Y33" s="3729"/>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29"/>
      <c r="Q34" s="1348" t="str">
        <f>B34</f>
        <v>宗地面积</v>
      </c>
      <c r="R34" s="701" t="s">
        <v>14</v>
      </c>
      <c r="S34" s="702" t="e">
        <f t="shared" si="10"/>
        <v>#N/A</v>
      </c>
      <c r="T34" s="701" t="s">
        <v>14</v>
      </c>
      <c r="U34" s="702" t="e">
        <f t="shared" si="11"/>
        <v>#N/A</v>
      </c>
      <c r="V34" s="701" t="s">
        <v>14</v>
      </c>
      <c r="W34" s="702" t="e">
        <f t="shared" si="12"/>
        <v>#N/A</v>
      </c>
      <c r="X34" s="1351"/>
      <c r="Y34" s="3729"/>
      <c r="Z34" s="1352" t="str">
        <f t="shared" si="13"/>
        <v>宗地面积</v>
      </c>
      <c r="AA34" s="1349" t="e">
        <f t="shared" si="3"/>
        <v>#N/A</v>
      </c>
      <c r="AB34" s="1349" t="e">
        <f t="shared" si="4"/>
        <v>#N/A</v>
      </c>
      <c r="AC34" s="1349" t="e">
        <f t="shared" si="5"/>
        <v>#N/A</v>
      </c>
    </row>
    <row r="35" spans="1:31" ht="15">
      <c r="A35" s="420"/>
      <c r="B35" s="372" t="s">
        <v>1875</v>
      </c>
      <c r="C35" s="1901"/>
      <c r="D35" s="383">
        <v>100</v>
      </c>
      <c r="E35" s="1901"/>
      <c r="F35" s="383">
        <f>SUMIF(110:110,E35,111:111)-SUMIF(110:110,C35,111:111)+100</f>
        <v>100</v>
      </c>
      <c r="G35" s="1901"/>
      <c r="H35" s="383">
        <f>SUMIF(110:110,G35,111:111)-SUMIF(110:110,C35,111:111)+100</f>
        <v>100</v>
      </c>
      <c r="I35" s="1901"/>
      <c r="J35" s="383">
        <f>SUMIF(110:110,I35,111:111)-SUMIF(110:110,C35,111:111)+100</f>
        <v>100</v>
      </c>
      <c r="K35" s="558"/>
      <c r="L35" s="2714"/>
      <c r="M35" s="2708"/>
      <c r="N35" s="2708"/>
      <c r="O35" s="2766"/>
      <c r="P35" s="3729"/>
      <c r="Q35" s="1348" t="str">
        <f t="shared" ref="Q35:Q40" si="14">B35</f>
        <v>宗地形状</v>
      </c>
      <c r="R35" s="701" t="s">
        <v>14</v>
      </c>
      <c r="S35" s="702">
        <f t="shared" si="10"/>
        <v>100</v>
      </c>
      <c r="T35" s="701" t="s">
        <v>14</v>
      </c>
      <c r="U35" s="702">
        <f t="shared" si="11"/>
        <v>100</v>
      </c>
      <c r="V35" s="701" t="s">
        <v>14</v>
      </c>
      <c r="W35" s="702">
        <f t="shared" si="12"/>
        <v>100</v>
      </c>
      <c r="X35" s="1351"/>
      <c r="Y35" s="3729"/>
      <c r="Z35" s="1352" t="str">
        <f t="shared" si="13"/>
        <v>宗地形状</v>
      </c>
      <c r="AA35" s="1349">
        <f t="shared" si="3"/>
        <v>1</v>
      </c>
      <c r="AB35" s="1349">
        <f t="shared" si="4"/>
        <v>1</v>
      </c>
      <c r="AC35" s="1349">
        <f t="shared" si="5"/>
        <v>1</v>
      </c>
    </row>
    <row r="36" spans="1:31" s="108" customFormat="1" ht="15">
      <c r="A36" s="421"/>
      <c r="B36" s="372" t="s">
        <v>1877</v>
      </c>
      <c r="C36" s="1973"/>
      <c r="D36" s="125">
        <v>100</v>
      </c>
      <c r="E36" s="1973"/>
      <c r="F36" s="383">
        <f>SUMIF(112:112,E36,113:113)-SUMIF(112:112,C36,113:113)+100</f>
        <v>100</v>
      </c>
      <c r="G36" s="1973"/>
      <c r="H36" s="383">
        <f>SUMIF(112:112,G36,113:113)-SUMIF(112:112,C36,113:113)+100</f>
        <v>100</v>
      </c>
      <c r="I36" s="1973"/>
      <c r="J36" s="383">
        <f>SUMIF(112:112,I36,113:113)-SUMIF(112:112,C36,113:113)+100</f>
        <v>100</v>
      </c>
      <c r="K36" s="558"/>
      <c r="L36" s="2709"/>
      <c r="M36" s="2710"/>
      <c r="N36" s="2710"/>
      <c r="O36" s="2764"/>
      <c r="P36" s="3729"/>
      <c r="Q36" s="1348" t="str">
        <f t="shared" si="14"/>
        <v>宗地开发程度</v>
      </c>
      <c r="R36" s="697" t="s">
        <v>14</v>
      </c>
      <c r="S36" s="698">
        <f t="shared" si="10"/>
        <v>100</v>
      </c>
      <c r="T36" s="697" t="s">
        <v>14</v>
      </c>
      <c r="U36" s="698">
        <f t="shared" si="11"/>
        <v>100</v>
      </c>
      <c r="V36" s="697" t="s">
        <v>14</v>
      </c>
      <c r="W36" s="698">
        <f t="shared" si="12"/>
        <v>100</v>
      </c>
      <c r="X36" s="699"/>
      <c r="Y36" s="3729"/>
      <c r="Z36" s="52" t="str">
        <f t="shared" si="13"/>
        <v>宗地开发程度</v>
      </c>
      <c r="AA36" s="700">
        <f t="shared" si="3"/>
        <v>1</v>
      </c>
      <c r="AB36" s="700">
        <f t="shared" si="4"/>
        <v>1</v>
      </c>
      <c r="AC36" s="700">
        <f t="shared" si="5"/>
        <v>1</v>
      </c>
    </row>
    <row r="37" spans="1:31" ht="15">
      <c r="A37" s="420"/>
      <c r="B37" s="372" t="s">
        <v>1878</v>
      </c>
      <c r="C37" s="1901"/>
      <c r="D37" s="383">
        <v>100</v>
      </c>
      <c r="E37" s="1901"/>
      <c r="F37" s="383">
        <f>SUMIF(114:114,E37,115:115)-SUMIF(114:114,C37,115:115)+100</f>
        <v>100</v>
      </c>
      <c r="G37" s="1901"/>
      <c r="H37" s="383">
        <f>SUMIF(114:114,G37,115:115)-SUMIF(114:114,C37,115:115)+100</f>
        <v>100</v>
      </c>
      <c r="I37" s="1901"/>
      <c r="J37" s="383">
        <f>SUMIF(114:114,I37,115:115)-SUMIF(114:114,C37,115:115)+100</f>
        <v>100</v>
      </c>
      <c r="K37" s="558"/>
      <c r="L37" s="2714"/>
      <c r="M37" s="2708"/>
      <c r="N37" s="2708"/>
      <c r="O37" s="2766"/>
      <c r="P37" s="3729" t="s">
        <v>1696</v>
      </c>
      <c r="Q37" s="1348" t="str">
        <f t="shared" si="14"/>
        <v>工程地质条件</v>
      </c>
      <c r="R37" s="701" t="s">
        <v>14</v>
      </c>
      <c r="S37" s="702">
        <f t="shared" si="10"/>
        <v>100</v>
      </c>
      <c r="T37" s="701" t="s">
        <v>14</v>
      </c>
      <c r="U37" s="702">
        <f t="shared" si="11"/>
        <v>100</v>
      </c>
      <c r="V37" s="701" t="s">
        <v>14</v>
      </c>
      <c r="W37" s="702">
        <f t="shared" si="12"/>
        <v>100</v>
      </c>
      <c r="X37" s="1351"/>
      <c r="Y37" s="3729"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29"/>
      <c r="Q38" s="1348">
        <f t="shared" si="14"/>
        <v>111</v>
      </c>
      <c r="R38" s="701" t="s">
        <v>14</v>
      </c>
      <c r="S38" s="702">
        <f t="shared" si="10"/>
        <v>100</v>
      </c>
      <c r="T38" s="701" t="s">
        <v>14</v>
      </c>
      <c r="U38" s="702">
        <f t="shared" si="11"/>
        <v>100</v>
      </c>
      <c r="V38" s="701" t="s">
        <v>14</v>
      </c>
      <c r="W38" s="702">
        <f t="shared" si="12"/>
        <v>100</v>
      </c>
      <c r="X38" s="1351"/>
      <c r="Y38" s="3729"/>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29"/>
      <c r="Q39" s="1348">
        <f t="shared" si="14"/>
        <v>111</v>
      </c>
      <c r="R39" s="701" t="s">
        <v>14</v>
      </c>
      <c r="S39" s="702">
        <f t="shared" si="10"/>
        <v>100</v>
      </c>
      <c r="T39" s="701" t="s">
        <v>14</v>
      </c>
      <c r="U39" s="702">
        <f t="shared" si="11"/>
        <v>100</v>
      </c>
      <c r="V39" s="701" t="s">
        <v>14</v>
      </c>
      <c r="W39" s="702">
        <f t="shared" si="12"/>
        <v>100</v>
      </c>
      <c r="X39" s="1351"/>
      <c r="Y39" s="3729"/>
      <c r="Z39" s="1352">
        <f t="shared" si="13"/>
        <v>111</v>
      </c>
      <c r="AA39" s="1349">
        <f t="shared" si="3"/>
        <v>1</v>
      </c>
      <c r="AB39" s="1349">
        <f t="shared" si="4"/>
        <v>1</v>
      </c>
      <c r="AC39" s="1349">
        <f t="shared" si="5"/>
        <v>1</v>
      </c>
    </row>
    <row r="40" spans="1:31" s="419" customFormat="1" ht="15.75" thickBot="1">
      <c r="A40" s="416"/>
      <c r="B40" s="1130">
        <v>111</v>
      </c>
      <c r="C40" s="1974"/>
      <c r="D40" s="126">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29"/>
      <c r="Q40" s="1348">
        <f t="shared" si="14"/>
        <v>111</v>
      </c>
      <c r="R40" s="704" t="s">
        <v>14</v>
      </c>
      <c r="S40" s="705">
        <f t="shared" si="10"/>
        <v>100</v>
      </c>
      <c r="T40" s="704" t="s">
        <v>14</v>
      </c>
      <c r="U40" s="705">
        <f t="shared" si="11"/>
        <v>100</v>
      </c>
      <c r="V40" s="704" t="s">
        <v>14</v>
      </c>
      <c r="W40" s="705">
        <f t="shared" si="12"/>
        <v>100</v>
      </c>
      <c r="X40" s="706"/>
      <c r="Y40" s="3729"/>
      <c r="Z40" s="707">
        <f t="shared" si="13"/>
        <v>111</v>
      </c>
      <c r="AA40" s="1349">
        <f t="shared" si="3"/>
        <v>1</v>
      </c>
      <c r="AB40" s="1349">
        <f t="shared" si="4"/>
        <v>1</v>
      </c>
      <c r="AC40" s="1349">
        <f t="shared" si="5"/>
        <v>1</v>
      </c>
    </row>
    <row r="41" spans="1:31" ht="15">
      <c r="A41" s="427" t="s">
        <v>1844</v>
      </c>
      <c r="B41" s="1975" t="s">
        <v>1922</v>
      </c>
      <c r="C41" s="627" t="s">
        <v>0</v>
      </c>
      <c r="D41" s="429"/>
      <c r="E41" s="430"/>
      <c r="F41" s="431"/>
      <c r="G41" s="432"/>
      <c r="H41" s="433"/>
      <c r="I41" s="430"/>
      <c r="J41" s="433"/>
      <c r="K41" s="710"/>
      <c r="L41" s="2716"/>
      <c r="M41" s="2708"/>
      <c r="N41" s="2708"/>
      <c r="O41" s="2717"/>
      <c r="P41" s="3709" t="str">
        <f>A41</f>
        <v>成交单价</v>
      </c>
      <c r="Q41" s="3709"/>
      <c r="R41" s="3722">
        <f>E41</f>
        <v>0</v>
      </c>
      <c r="S41" s="3722"/>
      <c r="T41" s="3722">
        <f>G41</f>
        <v>0</v>
      </c>
      <c r="U41" s="3722"/>
      <c r="V41" s="3722">
        <f>I41</f>
        <v>0</v>
      </c>
      <c r="W41" s="3722"/>
      <c r="X41" s="686"/>
      <c r="Y41" s="708"/>
      <c r="Z41" s="686"/>
      <c r="AA41" s="686"/>
      <c r="AB41" s="686"/>
      <c r="AC41" s="686"/>
    </row>
    <row r="42" spans="1:31" ht="15.75" thickBot="1">
      <c r="A42" s="434" t="s">
        <v>1793</v>
      </c>
      <c r="B42" s="628"/>
      <c r="C42" s="437" t="e">
        <f>R43</f>
        <v>#DIV/0!</v>
      </c>
      <c r="D42" s="2310" t="s">
        <v>2138</v>
      </c>
      <c r="E42" s="437" t="e">
        <f>R42</f>
        <v>#DIV/0!</v>
      </c>
      <c r="F42" s="2311"/>
      <c r="G42" s="436" t="e">
        <f>T42</f>
        <v>#DIV/0!</v>
      </c>
      <c r="H42" s="2311"/>
      <c r="I42" s="437" t="e">
        <f>V42</f>
        <v>#DIV/0!</v>
      </c>
      <c r="J42" s="2311"/>
      <c r="K42" s="2313">
        <f>F42+H42+J42</f>
        <v>0</v>
      </c>
      <c r="L42" s="2716"/>
      <c r="M42" s="2708"/>
      <c r="N42" s="2708"/>
      <c r="O42" s="2717"/>
      <c r="P42" s="3709" t="str">
        <f>A42</f>
        <v>比较价值（元/平方米）</v>
      </c>
      <c r="Q42" s="3709"/>
      <c r="R42" s="3730" t="e">
        <f>ROUND(PRODUCT(R41,AA7:AA40),0)</f>
        <v>#DIV/0!</v>
      </c>
      <c r="S42" s="3730"/>
      <c r="T42" s="3730" t="e">
        <f>ROUND(PRODUCT(T41,AB7:AB40),0)</f>
        <v>#DIV/0!</v>
      </c>
      <c r="U42" s="3730"/>
      <c r="V42" s="3730" t="e">
        <f>ROUND(PRODUCT(V41,AC7:AC40),0)</f>
        <v>#DIV/0!</v>
      </c>
      <c r="W42" s="3730"/>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731" t="str">
        <f>A43</f>
        <v>估价对象XX用房的比较价值（楼面单价，元/平方米）</v>
      </c>
      <c r="Q43" s="3732"/>
      <c r="R43" s="3733" t="e">
        <f>ROUND(IF(D42="简单平均",AVERAGE(R42:W42),R42*F42+T42*H42+V42*J42),0)</f>
        <v>#DIV/0!</v>
      </c>
      <c r="S43" s="3733"/>
      <c r="T43" s="3733"/>
      <c r="U43" s="3733"/>
      <c r="V43" s="3733"/>
      <c r="W43" s="3733"/>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6" t="s">
        <v>1883</v>
      </c>
      <c r="D50" s="1977" t="s">
        <v>1884</v>
      </c>
      <c r="E50" s="631" t="s">
        <v>1885</v>
      </c>
      <c r="F50" s="632" t="s">
        <v>1886</v>
      </c>
      <c r="G50" s="3710" t="s">
        <v>1887</v>
      </c>
      <c r="H50" s="3734"/>
      <c r="I50" s="1352" t="s">
        <v>1923</v>
      </c>
      <c r="J50" s="1352">
        <f>项目基本情况!F35</f>
        <v>0</v>
      </c>
      <c r="K50" s="1979"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40">
        <v>1</v>
      </c>
      <c r="E51" s="635">
        <f>'数据-汇总表'!E8+'数据-汇总表'!E9</f>
        <v>1</v>
      </c>
      <c r="F51" s="636" t="e">
        <f t="shared" ref="F51:F60" si="15">ROUND(B51*E51/10000,0)</f>
        <v>#DIV/0!</v>
      </c>
      <c r="G51" s="3735"/>
      <c r="H51" s="3709"/>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v>
      </c>
      <c r="D52" s="941">
        <v>0.25</v>
      </c>
      <c r="E52" s="639"/>
      <c r="F52" s="636" t="e">
        <f t="shared" si="15"/>
        <v>#DIV/0!</v>
      </c>
      <c r="G52" s="2998" t="s">
        <v>1892</v>
      </c>
      <c r="H52" s="883">
        <f>项目基本情况!B37</f>
        <v>0</v>
      </c>
      <c r="I52" s="769">
        <f>SUMIF(修正!A57:A68,H52,修正!B57:B68)</f>
        <v>0</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v>
      </c>
      <c r="D53" s="941">
        <v>0.25</v>
      </c>
      <c r="E53" s="639"/>
      <c r="F53" s="636" t="e">
        <f t="shared" si="15"/>
        <v>#DIV/0!</v>
      </c>
      <c r="G53" s="2999"/>
      <c r="H53" s="883">
        <f>项目基本情况!B37</f>
        <v>0</v>
      </c>
      <c r="I53" s="769">
        <f>SUMIF(修正!A57:A68,H53,修正!C57:C68)</f>
        <v>0</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v>
      </c>
      <c r="D54" s="941">
        <v>0.25</v>
      </c>
      <c r="E54" s="639"/>
      <c r="F54" s="636" t="e">
        <f t="shared" si="15"/>
        <v>#DIV/0!</v>
      </c>
      <c r="G54" s="2999"/>
      <c r="H54" s="883">
        <f>项目基本情况!B37</f>
        <v>0</v>
      </c>
      <c r="I54" s="769">
        <f>SUMIF(修正!A57:A68,H54,修正!D57:D68)</f>
        <v>0</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41"/>
      <c r="E55" s="639"/>
      <c r="F55" s="636"/>
      <c r="G55" s="3000"/>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v>
      </c>
      <c r="D56" s="941">
        <v>0.25</v>
      </c>
      <c r="E56" s="214">
        <f>'数据-汇总表'!E11</f>
        <v>0</v>
      </c>
      <c r="F56" s="636" t="e">
        <f t="shared" si="15"/>
        <v>#DIV/0!</v>
      </c>
      <c r="G56" s="1980" t="s">
        <v>1896</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v>
      </c>
      <c r="D59" s="941">
        <v>0.25</v>
      </c>
      <c r="E59" s="214">
        <f>'数据-汇总表'!E14</f>
        <v>0</v>
      </c>
      <c r="F59" s="636" t="e">
        <f t="shared" si="15"/>
        <v>#DIV/0!</v>
      </c>
      <c r="G59" s="1980" t="s">
        <v>1892</v>
      </c>
      <c r="H59" s="883">
        <f>项目基本情况!B37</f>
        <v>0</v>
      </c>
      <c r="I59" s="769">
        <f>SUMIF(修正!A57:A68,H59,修正!G57:G68)</f>
        <v>0</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v>
      </c>
      <c r="D60" s="941">
        <v>0.25</v>
      </c>
      <c r="E60" s="214">
        <f>'数据-汇总表'!E15</f>
        <v>0</v>
      </c>
      <c r="F60" s="636" t="e">
        <f t="shared" si="15"/>
        <v>#DIV/0!</v>
      </c>
      <c r="G60" s="1981" t="s">
        <v>1896</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88" t="str">
        <f>YEAR(C7)&amp;"-"&amp;MONTH(C7)&amp;"-1"</f>
        <v>2023-2-1</v>
      </c>
      <c r="D63" s="688">
        <f>EDATE(C63,-3)</f>
        <v>44866</v>
      </c>
      <c r="E63" s="688">
        <f>EDATE(D63,-3)</f>
        <v>44774</v>
      </c>
      <c r="F63" s="688">
        <f t="shared" ref="F63:O63" si="18">EDATE(E63,-3)</f>
        <v>44682</v>
      </c>
      <c r="G63" s="688">
        <f t="shared" si="18"/>
        <v>44593</v>
      </c>
      <c r="H63" s="688">
        <f t="shared" si="18"/>
        <v>44501</v>
      </c>
      <c r="I63" s="688">
        <f t="shared" si="18"/>
        <v>44409</v>
      </c>
      <c r="J63" s="688">
        <f t="shared" si="18"/>
        <v>44317</v>
      </c>
      <c r="K63" s="688">
        <f t="shared" si="18"/>
        <v>44228</v>
      </c>
      <c r="L63" s="688">
        <f t="shared" si="18"/>
        <v>44136</v>
      </c>
      <c r="M63" s="688">
        <f t="shared" si="18"/>
        <v>44044</v>
      </c>
      <c r="N63" s="688">
        <f t="shared" si="18"/>
        <v>43952</v>
      </c>
      <c r="O63" s="688">
        <f t="shared" si="18"/>
        <v>43862</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6"/>
      <c r="P64" s="2761"/>
      <c r="Q64" s="2731"/>
      <c r="R64" s="2717"/>
      <c r="S64" s="2717"/>
      <c r="T64" s="2717"/>
      <c r="U64" s="2717"/>
      <c r="V64" s="2717"/>
      <c r="W64" s="2717"/>
      <c r="X64" s="2717"/>
      <c r="Y64" s="2717"/>
      <c r="Z64" s="2717"/>
      <c r="AA64" s="2717"/>
      <c r="AB64" s="2717"/>
      <c r="AC64" s="2717"/>
      <c r="AD64" s="2717"/>
      <c r="AE64" s="2717"/>
    </row>
    <row r="65" spans="1:31" s="454" customFormat="1" ht="15">
      <c r="A65" s="1982" t="s">
        <v>1904</v>
      </c>
      <c r="B65" s="1105"/>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8" customWidth="1"/>
    <col min="2" max="2" width="37.125" style="1488" customWidth="1"/>
    <col min="3" max="3" width="11.375" style="1488" customWidth="1"/>
    <col min="4" max="4" width="31.8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估价结果一览表（市场价值不需“结果表-1”）</v>
      </c>
      <c r="B3" s="3506"/>
      <c r="C3" s="3506"/>
      <c r="D3" s="3506"/>
      <c r="E3" s="3506"/>
    </row>
    <row r="4" spans="1:5" ht="19.5" thickBot="1">
      <c r="A4" s="1489"/>
      <c r="B4" s="3504" t="s">
        <v>917</v>
      </c>
      <c r="C4" s="3504"/>
      <c r="D4" s="3504"/>
      <c r="E4" s="1489"/>
    </row>
    <row r="5" spans="1:5" ht="16.5" thickTop="1">
      <c r="A5" s="1487"/>
      <c r="B5" s="3502" t="s">
        <v>909</v>
      </c>
      <c r="C5" s="1490" t="s">
        <v>910</v>
      </c>
      <c r="D5" s="846">
        <f ca="1">结果表!H101</f>
        <v>3</v>
      </c>
      <c r="E5" s="1487"/>
    </row>
    <row r="6" spans="1:5" ht="15.75">
      <c r="A6" s="1487"/>
      <c r="B6" s="3502"/>
      <c r="C6" s="1490" t="s">
        <v>911</v>
      </c>
      <c r="D6" s="846" t="str">
        <f ca="1">NUMBERSTRING(INT(D5*10000),2)&amp;"元整"</f>
        <v>叁万元整</v>
      </c>
      <c r="E6" s="1487"/>
    </row>
    <row r="7" spans="1:5" ht="15.75">
      <c r="A7" s="1487"/>
      <c r="B7" s="3507"/>
      <c r="C7" s="1491" t="s">
        <v>912</v>
      </c>
      <c r="D7" s="847">
        <f ca="1">结果表!H102</f>
        <v>29162</v>
      </c>
      <c r="E7" s="1487"/>
    </row>
    <row r="8" spans="1:5" ht="15.75">
      <c r="A8" s="1487"/>
      <c r="B8" s="3508" t="str">
        <f>结果表!E103</f>
        <v>2.估价师知悉的法定优先受偿款</v>
      </c>
      <c r="C8" s="1492" t="s">
        <v>913</v>
      </c>
      <c r="D8" s="847">
        <f>结果表!H103</f>
        <v>0</v>
      </c>
      <c r="E8" s="1487"/>
    </row>
    <row r="9" spans="1:5" ht="15.75">
      <c r="A9" s="1487"/>
      <c r="B9" s="3510"/>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01" t="str">
        <f>结果表!E107</f>
        <v>3.房地产抵押价值</v>
      </c>
      <c r="C13" s="1495" t="s">
        <v>910</v>
      </c>
      <c r="D13" s="849">
        <f ca="1">结果表!H107</f>
        <v>3</v>
      </c>
      <c r="E13" s="1487"/>
    </row>
    <row r="14" spans="1:5" ht="15.75">
      <c r="A14" s="1487"/>
      <c r="B14" s="3502"/>
      <c r="C14" s="1490" t="s">
        <v>911</v>
      </c>
      <c r="D14" s="846" t="str">
        <f ca="1">NUMBERSTRING(INT(D13*10000),2)&amp;"元整"</f>
        <v>叁万元整</v>
      </c>
      <c r="E14" s="1487"/>
    </row>
    <row r="15" spans="1:5" ht="15">
      <c r="A15" s="1487"/>
      <c r="B15" s="3507"/>
      <c r="C15" s="1491" t="s">
        <v>921</v>
      </c>
      <c r="D15" s="855">
        <f ca="1">结果表!H108</f>
        <v>29162</v>
      </c>
      <c r="E15" s="1487"/>
    </row>
    <row r="16" spans="1:5" ht="15">
      <c r="A16" s="1487"/>
      <c r="B16" s="3508" t="str">
        <f>结果表!E109</f>
        <v>——</v>
      </c>
      <c r="C16" s="1495" t="s">
        <v>922</v>
      </c>
      <c r="D16" s="1496" t="str">
        <f>结果表!H109</f>
        <v>——</v>
      </c>
      <c r="E16" s="1487"/>
    </row>
    <row r="17" spans="1:5" ht="15.75">
      <c r="A17" s="1487"/>
      <c r="B17" s="3509"/>
      <c r="C17" s="1490" t="s">
        <v>923</v>
      </c>
      <c r="D17" s="846" t="e">
        <f>NUMBERSTRING(INT(D16*10000),2)&amp;"元整"</f>
        <v>#VALUE!</v>
      </c>
      <c r="E17" s="1487"/>
    </row>
    <row r="18" spans="1:5" ht="15">
      <c r="A18" s="1487"/>
      <c r="B18" s="3510"/>
      <c r="C18" s="1491" t="s">
        <v>912</v>
      </c>
      <c r="D18" s="855" t="str">
        <f>结果表!H110</f>
        <v>——</v>
      </c>
      <c r="E18" s="1487"/>
    </row>
    <row r="19" spans="1:5" ht="15.75">
      <c r="A19" s="1487"/>
      <c r="B19" s="3501" t="str">
        <f>结果表!E111</f>
        <v>——</v>
      </c>
      <c r="C19" s="1495" t="s">
        <v>910</v>
      </c>
      <c r="D19" s="847" t="str">
        <f>结果表!H111</f>
        <v>——</v>
      </c>
      <c r="E19" s="1487"/>
    </row>
    <row r="20" spans="1:5" ht="15.75">
      <c r="A20" s="1487"/>
      <c r="B20" s="3502"/>
      <c r="C20" s="1490" t="s">
        <v>923</v>
      </c>
      <c r="D20" s="846" t="e">
        <f>NUMBERSTRING(INT(D19*10000),2)&amp;"元整"</f>
        <v>#VALUE!</v>
      </c>
      <c r="E20" s="1487"/>
    </row>
    <row r="21" spans="1:5" ht="15.75" thickBot="1">
      <c r="A21" s="1487"/>
      <c r="B21" s="3503"/>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19" t="s">
        <v>2084</v>
      </c>
      <c r="D1" s="3820"/>
      <c r="E1" s="3820"/>
      <c r="F1" s="3820"/>
      <c r="G1" s="3820"/>
      <c r="H1" s="3820"/>
      <c r="I1" s="3820"/>
      <c r="J1" s="3820"/>
      <c r="K1" s="3820"/>
      <c r="L1" s="3820"/>
      <c r="M1" s="3820"/>
      <c r="N1" s="3820"/>
      <c r="O1" s="3820"/>
      <c r="P1" s="3820"/>
      <c r="Q1" s="3820"/>
      <c r="R1" s="3820"/>
      <c r="S1" s="3821"/>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1" t="s">
        <v>2093</v>
      </c>
      <c r="B17" s="2142"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3" t="s">
        <v>2095</v>
      </c>
      <c r="E19" s="1336"/>
      <c r="F19" s="1336"/>
      <c r="G19" s="1336"/>
      <c r="H19" s="1055"/>
      <c r="I19" s="156"/>
      <c r="J19" s="156"/>
      <c r="K19" s="156"/>
      <c r="L19" s="156"/>
      <c r="M19" s="156"/>
      <c r="N19" s="156"/>
      <c r="O19" s="156"/>
      <c r="P19" s="156"/>
      <c r="Q19" s="156"/>
      <c r="R19" s="714"/>
      <c r="S19" s="127"/>
    </row>
    <row r="20" spans="1:45" ht="16.5" thickBot="1">
      <c r="A20" s="659" t="s">
        <v>2096</v>
      </c>
      <c r="B20" s="291" t="e">
        <f ca="1">IF(D20="——",S22,S22-F20)</f>
        <v>#REF!</v>
      </c>
      <c r="C20" s="156"/>
      <c r="D20" s="2144"/>
      <c r="E20" s="1337"/>
      <c r="F20" s="979" t="e">
        <f ca="1">SUMIF(INDIRECT("'"&amp;H20&amp;"'"&amp;"!A:A"),"承租人权益价值",INDIRECT("'"&amp;H20&amp;"'"&amp;"!c:c"))</f>
        <v>#REF!</v>
      </c>
      <c r="G20" s="979" t="s">
        <v>2097</v>
      </c>
      <c r="H20" s="2145"/>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16" t="s">
        <v>27</v>
      </c>
      <c r="D22" s="3817"/>
      <c r="E22" s="3817"/>
      <c r="F22" s="3817"/>
      <c r="G22" s="3817"/>
      <c r="H22" s="3817"/>
      <c r="I22" s="3817"/>
      <c r="J22" s="3817"/>
      <c r="K22" s="3817"/>
      <c r="L22" s="3817"/>
      <c r="M22" s="3817"/>
      <c r="N22" s="3817"/>
      <c r="O22" s="3817"/>
      <c r="P22" s="3817"/>
      <c r="Q22" s="3818"/>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0"/>
      <c r="C1" s="2140"/>
      <c r="D1" s="2140"/>
      <c r="E1" s="2140"/>
      <c r="F1" s="2785"/>
      <c r="G1" s="2785"/>
      <c r="H1" s="2785"/>
      <c r="I1" s="2785"/>
      <c r="J1" s="2785"/>
      <c r="K1" s="2785"/>
      <c r="L1" s="2785"/>
      <c r="M1" s="2785"/>
      <c r="N1" s="2785"/>
      <c r="O1" s="2785"/>
      <c r="P1" s="2785"/>
    </row>
    <row r="2" spans="1:16" ht="15.75">
      <c r="A2" s="2138" t="s">
        <v>2073</v>
      </c>
      <c r="B2" s="2594" t="e">
        <f ca="1">SUMIF(B6:B13,"&lt;&gt;#ref!",B6:B13)</f>
        <v>#DIV/0!</v>
      </c>
      <c r="C2" s="2138" t="s">
        <v>2074</v>
      </c>
      <c r="D2" s="2138" t="s">
        <v>2075</v>
      </c>
      <c r="E2" s="2604">
        <f ca="1">SUMIF(E6:E13,"&lt;&gt;#ref!",E6:E13)</f>
        <v>0</v>
      </c>
      <c r="F2" s="2785"/>
      <c r="G2" s="2785"/>
      <c r="H2" s="2785"/>
      <c r="I2" s="2785"/>
      <c r="J2" s="2785"/>
      <c r="K2" s="2785"/>
      <c r="L2" s="2785"/>
      <c r="M2" s="2785"/>
      <c r="N2" s="2785"/>
      <c r="O2" s="2785"/>
      <c r="P2" s="2785"/>
    </row>
    <row r="3" spans="1:16" ht="15.75">
      <c r="A3" s="2138" t="s">
        <v>2076</v>
      </c>
      <c r="B3" s="2594" t="e">
        <f ca="1">ROUND(B2*10000/E2,0)</f>
        <v>#DIV/0!</v>
      </c>
      <c r="C3" s="2138"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9"/>
      <c r="D5" s="2785"/>
      <c r="E5" s="2603" t="s">
        <v>2079</v>
      </c>
      <c r="F5" s="2785"/>
      <c r="G5" s="2785"/>
      <c r="H5" s="2785"/>
      <c r="I5" s="2785"/>
      <c r="J5" s="2785"/>
      <c r="K5" s="2785"/>
      <c r="L5" s="2785"/>
      <c r="M5" s="2785"/>
      <c r="N5" s="2785"/>
      <c r="O5" s="2785"/>
      <c r="P5" s="2785"/>
    </row>
    <row r="6" spans="1:16" ht="15.75">
      <c r="A6" s="2601" t="s">
        <v>2080</v>
      </c>
      <c r="B6" s="2594" t="e">
        <f ca="1">SUMIF(INDIRECT("'"&amp;A6&amp;"'"&amp;"!A:A"),"总价",INDIRECT("'"&amp;A6&amp;"'"&amp;"!B:B"))</f>
        <v>#DIV/0!</v>
      </c>
      <c r="C6" s="2138" t="s">
        <v>2074</v>
      </c>
      <c r="D6" s="2785"/>
      <c r="E6" s="2604">
        <f ca="1">SUMIF(INDIRECT("'"&amp;A6&amp;"'"&amp;"!C:C"),"建筑面积",INDIRECT("'"&amp;A6&amp;"'"&amp;"!D:D"))</f>
        <v>0</v>
      </c>
      <c r="F6" s="2785"/>
      <c r="G6" s="2785"/>
      <c r="H6" s="2785"/>
      <c r="I6" s="2785"/>
      <c r="J6" s="2785"/>
      <c r="K6" s="2785"/>
      <c r="L6" s="2785"/>
      <c r="M6" s="2785"/>
      <c r="N6" s="2785"/>
      <c r="O6" s="2785"/>
      <c r="P6" s="2785"/>
    </row>
    <row r="7" spans="1:16" ht="15.75">
      <c r="A7" s="2601"/>
      <c r="B7" s="2594" t="e">
        <f ca="1">SUMIF(INDIRECT("'"&amp;A7&amp;"'"&amp;"!A:A"),"总价",INDIRECT("'"&amp;A7&amp;"'"&amp;"!B:B"))</f>
        <v>#REF!</v>
      </c>
      <c r="C7" s="2138"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8"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8"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8"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8"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8"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8"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875" style="2046" customWidth="1"/>
    <col min="2" max="2" width="22.5" style="2137" customWidth="1"/>
    <col min="3" max="3" width="12" style="1991"/>
    <col min="4" max="4" width="14.875" style="1991" customWidth="1"/>
    <col min="5" max="5" width="14.625" style="1991" customWidth="1"/>
    <col min="6" max="8" width="12" style="1991"/>
    <col min="9" max="9" width="12.125" style="1991" bestFit="1" customWidth="1"/>
    <col min="10" max="10" width="12" style="1991"/>
    <col min="11" max="11" width="8.125" style="2042" customWidth="1"/>
    <col min="12" max="12" width="19.5" style="1991" customWidth="1"/>
    <col min="13" max="13" width="8.5" style="1991" customWidth="1"/>
    <col min="14" max="14" width="9.875" style="1991" customWidth="1"/>
    <col min="15" max="25" width="12" style="1991"/>
    <col min="26" max="26" width="9.375" style="2046" customWidth="1"/>
    <col min="27" max="32" width="9.375" style="1117" customWidth="1"/>
    <col min="33" max="36" width="9.375" style="2046" customWidth="1"/>
    <col min="37" max="38" width="9.375" style="1991" customWidth="1"/>
    <col min="39" max="16384" width="12" style="1991"/>
  </cols>
  <sheetData>
    <row r="1" spans="1:36" ht="28.5">
      <c r="A1" s="193" t="s">
        <v>1926</v>
      </c>
      <c r="B1" s="194"/>
      <c r="C1" s="198" t="s">
        <v>1927</v>
      </c>
      <c r="D1" s="339">
        <f>SUM(D33:D34,D37:D42)</f>
        <v>0</v>
      </c>
      <c r="E1" s="1988"/>
      <c r="F1" s="1988"/>
      <c r="G1" s="1988"/>
      <c r="H1" s="1988"/>
      <c r="I1" s="1988"/>
      <c r="J1" s="1988"/>
      <c r="K1" s="1115"/>
      <c r="L1" s="1989" t="s">
        <v>1928</v>
      </c>
      <c r="M1" s="859">
        <f>SUMPRODUCT((区片价!B5:B9=I2)*(区片价!C3:G3=E2)*(区片价!C5:G9))</f>
        <v>0</v>
      </c>
      <c r="N1" s="862">
        <f>SUMPRODUCT((因素修正幅度!B5:B9=I2)*(因素修正幅度!C3:G3=E2)*(因素修正幅度!C5:G9))</f>
        <v>0</v>
      </c>
      <c r="O1" s="1990"/>
      <c r="P1" s="1990"/>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t="e">
        <f>C30</f>
        <v>#DIV/0!</v>
      </c>
      <c r="C2" s="1992" t="s">
        <v>1935</v>
      </c>
      <c r="D2" s="1993" t="s">
        <v>1936</v>
      </c>
      <c r="E2" s="3414"/>
      <c r="F2" s="1993" t="s">
        <v>1937</v>
      </c>
      <c r="G2" s="1994">
        <f>IF(E2="商业",项目基本情况!B37,IF(E2="办公",项目基本情况!C37,IF(E2="住宅",项目基本情况!D37,IF(E2="工业",项目基本情况!E37,项目基本情况!F37))))</f>
        <v>0</v>
      </c>
      <c r="H2" s="1993" t="s">
        <v>1938</v>
      </c>
      <c r="I2" s="1994">
        <f>IF(E2="商业",项目基本情况!B38,IF(E2="办公",项目基本情况!C38,IF(E2="住宅",项目基本情况!D38,IF(E2="工业",项目基本情况!E38,项目基本情况!F38))))</f>
        <v>0</v>
      </c>
      <c r="J2" s="1995"/>
      <c r="K2" s="1115"/>
      <c r="L2" s="1996" t="s">
        <v>1939</v>
      </c>
      <c r="M2" s="860">
        <f>SUMPRODUCT((区片价!B10:B29=I2)*(区片价!C3:G3=E2)*(区片价!C10:G29))</f>
        <v>0</v>
      </c>
      <c r="N2" s="862">
        <f>SUMPRODUCT((因素修正幅度!B10:B29=I2)*(因素修正幅度!C3:G3=E2)*(因素修正幅度!C10:G29))</f>
        <v>0</v>
      </c>
      <c r="O2" s="1115"/>
      <c r="P2" s="1115"/>
      <c r="Q2" s="1115"/>
      <c r="R2" s="1208">
        <v>1</v>
      </c>
      <c r="S2" s="3353">
        <f>ROUND(SUMPRODUCT((B106:B110=R2)*(C105:N105=G2)*(C106:N110)),4)</f>
        <v>0</v>
      </c>
      <c r="T2" s="3353" t="e">
        <f t="shared" ref="T2:T16" si="0">ROUND($C$5*$C$22*$C$23*$C$24*S2*$C$28,0)</f>
        <v>#DIV/0!</v>
      </c>
      <c r="U2" s="1209"/>
      <c r="V2" s="3353" t="e">
        <f>ROUND(T2*U2/10000,0)</f>
        <v>#DIV/0!</v>
      </c>
      <c r="W2" s="1212"/>
      <c r="X2" s="1212"/>
      <c r="Y2" s="1212"/>
      <c r="Z2" s="1212"/>
      <c r="AA2" s="1212"/>
      <c r="AB2" s="1212"/>
      <c r="AC2" s="1213"/>
      <c r="AD2" s="1214"/>
      <c r="AE2" s="1214"/>
      <c r="AF2" s="1214"/>
      <c r="AG2" s="1214"/>
      <c r="AH2" s="1214"/>
      <c r="AI2" s="1214"/>
      <c r="AJ2" s="1215"/>
    </row>
    <row r="3" spans="1:36" ht="15.75">
      <c r="A3" s="200" t="s">
        <v>1940</v>
      </c>
      <c r="B3" s="201" t="e">
        <f>ROUND(B2*10000/D1,0)</f>
        <v>#DIV/0!</v>
      </c>
      <c r="C3" s="1992" t="s">
        <v>1941</v>
      </c>
      <c r="D3" s="1993" t="s">
        <v>1942</v>
      </c>
      <c r="E3" s="3412"/>
      <c r="F3" s="1997"/>
      <c r="G3" s="748">
        <f>IF(F3="宗地容积率",'数据-汇总表'!I4,IF(F3="估价对象容积率",'数据-汇总表'!I6,'数据-汇总表'!I7))</f>
        <v>0</v>
      </c>
      <c r="H3" s="167" t="s">
        <v>1943</v>
      </c>
      <c r="I3" s="771"/>
      <c r="J3" s="1995" t="s">
        <v>1944</v>
      </c>
      <c r="K3" s="1115"/>
      <c r="L3" s="1996" t="s">
        <v>1945</v>
      </c>
      <c r="M3" s="860">
        <f>SUMPRODUCT((区片价!B30:B54=I2)*(区片价!C3:G3=E2)*(区片价!C30:G54))</f>
        <v>0</v>
      </c>
      <c r="N3" s="862">
        <f>SUMPRODUCT((因素修正幅度!B30:B54=I2)*(因素修正幅度!C3:G3=E2)*(因素修正幅度!C30:G54))</f>
        <v>0</v>
      </c>
      <c r="O3" s="1115"/>
      <c r="P3" s="1115"/>
      <c r="Q3" s="1115"/>
      <c r="R3" s="1208">
        <v>2</v>
      </c>
      <c r="S3" s="3353">
        <f>ROUND(SUMPRODUCT((B106:B110=R3)*(C105:N105=G2)*(C106:N110)),4)</f>
        <v>0</v>
      </c>
      <c r="T3" s="3353" t="e">
        <f t="shared" si="0"/>
        <v>#DIV/0!</v>
      </c>
      <c r="U3" s="1209"/>
      <c r="V3" s="3353" t="e">
        <f t="shared" ref="V3:V16" si="1">ROUND(T3*U3/10000,0)</f>
        <v>#DIV/0!</v>
      </c>
      <c r="W3" s="1212"/>
      <c r="X3" s="1212"/>
      <c r="Y3" s="1212"/>
      <c r="Z3" s="1212"/>
      <c r="AA3" s="1212"/>
      <c r="AB3" s="1212"/>
      <c r="AC3" s="1213"/>
      <c r="AD3" s="1214"/>
      <c r="AE3" s="1214"/>
      <c r="AF3" s="1214"/>
      <c r="AG3" s="1214"/>
      <c r="AH3" s="1214"/>
      <c r="AI3" s="1214"/>
      <c r="AJ3" s="1215"/>
    </row>
    <row r="4" spans="1:36" ht="15.75">
      <c r="A4" s="3829"/>
      <c r="B4" s="3830"/>
      <c r="C4" s="3830"/>
      <c r="D4" s="3831"/>
      <c r="E4" s="3831"/>
      <c r="F4" s="3831"/>
      <c r="G4" s="3831"/>
      <c r="H4" s="3831"/>
      <c r="I4" s="3831"/>
      <c r="J4" s="3832"/>
      <c r="K4" s="1115"/>
      <c r="L4" s="1996" t="s">
        <v>1946</v>
      </c>
      <c r="M4" s="860">
        <f>SUMPRODUCT((区片价!B55:B86=I2)*(区片价!C3:G3=E2)*(区片价!C55:G86))</f>
        <v>0</v>
      </c>
      <c r="N4" s="862">
        <f>SUMPRODUCT((因素修正幅度!B55:B86=I2)*(因素修正幅度!C3:G3=E2)*(因素修正幅度!C55:G86))</f>
        <v>0</v>
      </c>
      <c r="O4" s="1115"/>
      <c r="P4" s="1115"/>
      <c r="Q4" s="1115"/>
      <c r="R4" s="1208">
        <v>3</v>
      </c>
      <c r="S4" s="3353">
        <f>ROUND(SUMPRODUCT((B106:B110=R4)*(C105:N105=G2)*(C106:N110)),4)</f>
        <v>0</v>
      </c>
      <c r="T4" s="3353" t="e">
        <f t="shared" si="0"/>
        <v>#DIV/0!</v>
      </c>
      <c r="U4" s="1209"/>
      <c r="V4" s="3353" t="e">
        <f t="shared" si="1"/>
        <v>#DIV/0!</v>
      </c>
      <c r="W4" s="1212"/>
      <c r="X4" s="1212"/>
      <c r="Y4" s="1212"/>
      <c r="Z4" s="1212"/>
      <c r="AA4" s="1212"/>
      <c r="AB4" s="1212"/>
      <c r="AC4" s="1213"/>
      <c r="AD4" s="1214"/>
      <c r="AE4" s="1214"/>
      <c r="AF4" s="1214"/>
      <c r="AG4" s="1214"/>
      <c r="AH4" s="1214"/>
      <c r="AI4" s="1214"/>
      <c r="AJ4" s="1215"/>
    </row>
    <row r="5" spans="1:36" s="2007" customFormat="1" ht="15.75" thickBot="1">
      <c r="A5" s="1998" t="s">
        <v>362</v>
      </c>
      <c r="B5" s="1999" t="s">
        <v>1947</v>
      </c>
      <c r="C5" s="749" t="e">
        <f>ROUND(IF(E2="商业",C6*C7*C17+C20,(IF(E2="住宅",C6*C13*C17+C20,IF(E2="办公",C6*C12*C17+C20,C6+C20)))),0)</f>
        <v>#DIV/0!</v>
      </c>
      <c r="D5" s="1335" t="e">
        <f>ROUND(C6*C17+C20,0)</f>
        <v>#DIV/0!</v>
      </c>
      <c r="E5" s="1335"/>
      <c r="F5" s="2000"/>
      <c r="G5" s="2001"/>
      <c r="H5" s="2001"/>
      <c r="I5" s="2001"/>
      <c r="J5" s="2002"/>
      <c r="K5" s="2003"/>
      <c r="L5" s="1996" t="s">
        <v>1948</v>
      </c>
      <c r="M5" s="860">
        <f>SUMPRODUCT((区片价!B87:B126=I2)*(区片价!C3:G3=E2)*(区片价!C87:G126))</f>
        <v>0</v>
      </c>
      <c r="N5" s="862">
        <f>SUMPRODUCT((因素修正幅度!B87:B126=I2)*(因素修正幅度!C3:G3=E2)*(因素修正幅度!C87:G126))</f>
        <v>0</v>
      </c>
      <c r="O5" s="1115"/>
      <c r="P5" s="1115"/>
      <c r="Q5" s="1115"/>
      <c r="R5" s="1208">
        <v>4</v>
      </c>
      <c r="S5" s="3353">
        <f>ROUND(SUMPRODUCT((B106:B110=R5)*(C105:N105=G2)*(C106:N110)),4)</f>
        <v>0</v>
      </c>
      <c r="T5" s="3353" t="e">
        <f t="shared" si="0"/>
        <v>#DIV/0!</v>
      </c>
      <c r="U5" s="1209"/>
      <c r="V5" s="3353" t="e">
        <f t="shared" si="1"/>
        <v>#DIV/0!</v>
      </c>
      <c r="W5" s="1212"/>
      <c r="X5" s="1212"/>
      <c r="Y5" s="1212"/>
      <c r="Z5" s="1212"/>
      <c r="AA5" s="1212"/>
      <c r="AB5" s="1212"/>
      <c r="AC5" s="2004"/>
      <c r="AD5" s="2005"/>
      <c r="AE5" s="2005"/>
      <c r="AF5" s="2005"/>
      <c r="AG5" s="2005"/>
      <c r="AH5" s="2005"/>
      <c r="AI5" s="2005"/>
      <c r="AJ5" s="2006"/>
    </row>
    <row r="6" spans="1:36" ht="15.75" thickBot="1">
      <c r="A6" s="2008" t="s">
        <v>1949</v>
      </c>
      <c r="B6" s="2009" t="s">
        <v>1950</v>
      </c>
      <c r="C6" s="750">
        <f>SUMIF(L1:L12,G2,M1:M12)</f>
        <v>0</v>
      </c>
      <c r="D6" s="2010"/>
      <c r="E6" s="2011"/>
      <c r="F6" s="2011"/>
      <c r="G6" s="2012"/>
      <c r="H6" s="2012"/>
      <c r="I6" s="2012"/>
      <c r="J6" s="2013"/>
      <c r="K6" s="1380"/>
      <c r="L6" s="1996" t="s">
        <v>1951</v>
      </c>
      <c r="M6" s="860">
        <f>SUMPRODUCT((区片价!B127:B189=I2)*(区片价!C3:G3=E2)*(区片价!C127:G189))</f>
        <v>0</v>
      </c>
      <c r="N6" s="862">
        <f>SUMPRODUCT((因素修正幅度!B127:B189=I2)*(因素修正幅度!C3:G3=E2)*(因素修正幅度!C127:G189))</f>
        <v>0</v>
      </c>
      <c r="O6" s="1115"/>
      <c r="P6" s="1115"/>
      <c r="Q6" s="1115"/>
      <c r="R6" s="1208">
        <v>5</v>
      </c>
      <c r="S6" s="3353">
        <f>ROUND(SUMPRODUCT((B106:B110=R6)*(C105:N105=G2)*(C106:N110)),4)</f>
        <v>0</v>
      </c>
      <c r="T6" s="3353" t="e">
        <f t="shared" si="0"/>
        <v>#DIV/0!</v>
      </c>
      <c r="U6" s="1209"/>
      <c r="V6" s="3353" t="e">
        <f t="shared" si="1"/>
        <v>#DIV/0!</v>
      </c>
      <c r="W6" s="1212"/>
      <c r="X6" s="1212"/>
      <c r="Y6" s="1212"/>
      <c r="Z6" s="1212"/>
      <c r="AA6" s="1212"/>
      <c r="AB6" s="1212"/>
      <c r="AC6" s="2004"/>
      <c r="AD6" s="2005"/>
      <c r="AE6" s="2005"/>
      <c r="AF6" s="2005"/>
      <c r="AG6" s="2005"/>
      <c r="AH6" s="2005"/>
      <c r="AI6" s="2005"/>
      <c r="AJ6" s="2006"/>
    </row>
    <row r="7" spans="1:36" ht="24.75" thickBot="1">
      <c r="A7" s="3296" t="s">
        <v>3241</v>
      </c>
      <c r="B7" s="2014" t="s">
        <v>1952</v>
      </c>
      <c r="C7" s="751" t="e">
        <f>IF(C8="不临65条商业街",1,ROUND(1+(1.6*E8+1.2*E9+0.8*E10+0.4*E11)*C9,4))</f>
        <v>#DIV/0!</v>
      </c>
      <c r="D7" s="2015" t="s">
        <v>1953</v>
      </c>
      <c r="E7" s="772"/>
      <c r="F7" s="2016"/>
      <c r="G7" s="2017"/>
      <c r="H7" s="2017"/>
      <c r="I7" s="2017"/>
      <c r="J7" s="2018"/>
      <c r="K7" s="1380"/>
      <c r="L7" s="1996" t="s">
        <v>1954</v>
      </c>
      <c r="M7" s="860">
        <f>SUMPRODUCT((区片价!B190:B233=I2)*(区片价!C3:G3=E2)*(区片价!C190:G233))</f>
        <v>0</v>
      </c>
      <c r="N7" s="862">
        <f>SUMPRODUCT((因素修正幅度!B190:B233=I2)*(因素修正幅度!C3:G3=E2)*(因素修正幅度!C190:G233))</f>
        <v>0</v>
      </c>
      <c r="O7" s="1115"/>
      <c r="P7" s="1115"/>
      <c r="Q7" s="1115"/>
      <c r="R7" s="1208">
        <v>6</v>
      </c>
      <c r="S7" s="3411"/>
      <c r="T7" s="3353" t="e">
        <f t="shared" si="0"/>
        <v>#DIV/0!</v>
      </c>
      <c r="U7" s="1209"/>
      <c r="V7" s="3353"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1"/>
      <c r="B8" s="167" t="s">
        <v>1957</v>
      </c>
      <c r="C8" s="2019"/>
      <c r="D8" s="752" t="s">
        <v>112</v>
      </c>
      <c r="E8" s="753" t="e">
        <f>ROUND(C11/E7,4)</f>
        <v>#DIV/0!</v>
      </c>
      <c r="F8" s="2020" t="s">
        <v>1958</v>
      </c>
      <c r="G8" s="2021"/>
      <c r="H8" s="2021"/>
      <c r="I8" s="2021"/>
      <c r="J8" s="2022"/>
      <c r="K8" s="1115"/>
      <c r="L8" s="1996" t="s">
        <v>1959</v>
      </c>
      <c r="M8" s="860">
        <f>SUMPRODUCT((区片价!B234:B276=I2)*(区片价!C3:G3=E2)*(区片价!C234:G276))</f>
        <v>0</v>
      </c>
      <c r="N8" s="862">
        <f>SUMPRODUCT((因素修正幅度!B234:B276=I2)*(因素修正幅度!C3:G3=E2)*(因素修正幅度!C234:G276))</f>
        <v>0</v>
      </c>
      <c r="O8" s="1115"/>
      <c r="P8" s="1115"/>
      <c r="Q8" s="1115"/>
      <c r="R8" s="1208">
        <v>7</v>
      </c>
      <c r="S8" s="1209"/>
      <c r="T8" s="3353" t="e">
        <f t="shared" si="0"/>
        <v>#DIV/0!</v>
      </c>
      <c r="U8" s="1209"/>
      <c r="V8" s="3353" t="e">
        <f t="shared" si="1"/>
        <v>#DIV/0!</v>
      </c>
      <c r="W8" s="3826" t="s">
        <v>1960</v>
      </c>
      <c r="X8" s="3827"/>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1"/>
      <c r="B9" s="167" t="s">
        <v>1973</v>
      </c>
      <c r="C9" s="754">
        <f>SUMIF(修正!C71:C138,C8,修正!E71:E138)</f>
        <v>0</v>
      </c>
      <c r="D9" s="168" t="s">
        <v>113</v>
      </c>
      <c r="E9" s="168" t="e">
        <f>ROUND(C11/E7,4)</f>
        <v>#DIV/0!</v>
      </c>
      <c r="F9" s="2020" t="s">
        <v>1974</v>
      </c>
      <c r="G9" s="2021"/>
      <c r="H9" s="2021"/>
      <c r="I9" s="2021"/>
      <c r="J9" s="2022"/>
      <c r="K9" s="1115"/>
      <c r="L9" s="1996" t="s">
        <v>1975</v>
      </c>
      <c r="M9" s="860">
        <f>SUMPRODUCT((区片价!B277:B326=I2)*(区片价!C3:G3=E2)*(区片价!C277:G326))</f>
        <v>0</v>
      </c>
      <c r="N9" s="862">
        <f>SUMPRODUCT((因素修正幅度!B277:B326=I2)*(因素修正幅度!C3:G3=E2)*(因素修正幅度!C277:G326))</f>
        <v>0</v>
      </c>
      <c r="O9" s="1115"/>
      <c r="P9" s="1115"/>
      <c r="Q9" s="1115"/>
      <c r="R9" s="1208">
        <v>8</v>
      </c>
      <c r="S9" s="1209"/>
      <c r="T9" s="3353" t="e">
        <f t="shared" si="0"/>
        <v>#DIV/0!</v>
      </c>
      <c r="U9" s="1209"/>
      <c r="V9" s="3353" t="e">
        <f t="shared" si="1"/>
        <v>#DIV/0!</v>
      </c>
      <c r="W9" s="3828"/>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20" t="s">
        <v>1977</v>
      </c>
      <c r="G10" s="2021"/>
      <c r="H10" s="2021"/>
      <c r="I10" s="2021"/>
      <c r="J10" s="2022"/>
      <c r="K10" s="1115"/>
      <c r="L10" s="1996"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3" t="e">
        <f t="shared" si="0"/>
        <v>#DIV/0!</v>
      </c>
      <c r="U10" s="1209"/>
      <c r="V10" s="3353" t="e">
        <f t="shared" si="1"/>
        <v>#DIV/0!</v>
      </c>
      <c r="W10" s="3828"/>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1979</v>
      </c>
      <c r="C11" s="755">
        <f>C10/4</f>
        <v>0</v>
      </c>
      <c r="D11" s="755" t="s">
        <v>115</v>
      </c>
      <c r="E11" s="755" t="e">
        <f>ROUND(C11/E7,4)</f>
        <v>#DIV/0!</v>
      </c>
      <c r="F11" s="2024" t="s">
        <v>1980</v>
      </c>
      <c r="G11" s="2025"/>
      <c r="H11" s="2025"/>
      <c r="I11" s="2025"/>
      <c r="J11" s="2026"/>
      <c r="K11" s="1115"/>
      <c r="L11" s="1996"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3" t="e">
        <f t="shared" si="0"/>
        <v>#DIV/0!</v>
      </c>
      <c r="U11" s="1209"/>
      <c r="V11" s="3353" t="e">
        <f t="shared" si="1"/>
        <v>#DIV/0!</v>
      </c>
      <c r="W11" s="1212"/>
      <c r="X11" s="1212"/>
      <c r="Y11" s="1212"/>
      <c r="Z11" s="1212"/>
      <c r="AA11" s="1212"/>
      <c r="AB11" s="1212"/>
      <c r="AC11" s="1213"/>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5"/>
      <c r="L12" s="2032"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3" t="e">
        <f t="shared" si="0"/>
        <v>#DIV/0!</v>
      </c>
      <c r="U12" s="1209"/>
      <c r="V12" s="3353" t="e">
        <f t="shared" si="1"/>
        <v>#DIV/0!</v>
      </c>
      <c r="W12" s="1212"/>
      <c r="X12" s="1212"/>
      <c r="Y12" s="1212"/>
      <c r="Z12" s="1212"/>
      <c r="AA12" s="1212"/>
      <c r="AB12" s="1212"/>
      <c r="AC12" s="1213"/>
      <c r="AD12" s="2781"/>
      <c r="AE12" s="2781"/>
      <c r="AF12" s="2781"/>
      <c r="AG12" s="2781"/>
      <c r="AH12" s="2781"/>
      <c r="AI12" s="2781"/>
      <c r="AJ12" s="2782"/>
    </row>
    <row r="13" spans="1:36" ht="15.75" thickBot="1">
      <c r="A13" s="3296" t="s">
        <v>3246</v>
      </c>
      <c r="B13" s="2027" t="s">
        <v>1982</v>
      </c>
      <c r="C13" s="751">
        <f>ROUND(C16*D16*E16*F16*G16*H16*I16*J16,4)</f>
        <v>0</v>
      </c>
      <c r="D13" s="2028" t="s">
        <v>1983</v>
      </c>
      <c r="E13" s="2029"/>
      <c r="F13" s="2029"/>
      <c r="G13" s="2030"/>
      <c r="H13" s="2030"/>
      <c r="I13" s="2030"/>
      <c r="J13" s="2031"/>
      <c r="K13" s="1115"/>
      <c r="L13" s="3292"/>
      <c r="M13" s="3293"/>
      <c r="N13" s="3294"/>
      <c r="O13" s="1115"/>
      <c r="P13" s="1115"/>
      <c r="Q13" s="1115"/>
      <c r="R13" s="1208">
        <v>12</v>
      </c>
      <c r="S13" s="1209"/>
      <c r="T13" s="3353" t="e">
        <f t="shared" si="0"/>
        <v>#DIV/0!</v>
      </c>
      <c r="U13" s="1209"/>
      <c r="V13" s="3353" t="e">
        <f t="shared" si="1"/>
        <v>#DIV/0!</v>
      </c>
      <c r="W13" s="1212"/>
      <c r="X13" s="1212"/>
      <c r="Y13" s="1212"/>
      <c r="Z13" s="1212"/>
      <c r="AA13" s="1212"/>
      <c r="AB13" s="1212"/>
      <c r="AC13" s="1213"/>
      <c r="AD13" s="2781"/>
      <c r="AE13" s="2781"/>
      <c r="AF13" s="2781"/>
      <c r="AG13" s="2781"/>
      <c r="AH13" s="2781"/>
      <c r="AI13" s="2781"/>
      <c r="AJ13" s="2782"/>
    </row>
    <row r="14" spans="1:36" ht="15">
      <c r="A14" s="3290"/>
      <c r="B14" s="2033" t="s">
        <v>1985</v>
      </c>
      <c r="C14" s="2034" t="s">
        <v>1986</v>
      </c>
      <c r="D14" s="1346" t="s">
        <v>1987</v>
      </c>
      <c r="E14" s="27" t="s">
        <v>1988</v>
      </c>
      <c r="F14" s="3304" t="s">
        <v>3247</v>
      </c>
      <c r="G14" s="3304" t="s">
        <v>3247</v>
      </c>
      <c r="H14" s="3304" t="s">
        <v>3247</v>
      </c>
      <c r="I14" s="3304" t="s">
        <v>3247</v>
      </c>
      <c r="J14" s="3304" t="s">
        <v>3247</v>
      </c>
      <c r="K14" s="1115"/>
      <c r="L14" s="1115"/>
      <c r="M14" s="1115"/>
      <c r="N14" s="1115"/>
      <c r="O14" s="1115"/>
      <c r="P14" s="1115"/>
      <c r="Q14" s="1115"/>
      <c r="R14" s="1208">
        <v>13</v>
      </c>
      <c r="S14" s="1209"/>
      <c r="T14" s="3353" t="e">
        <f t="shared" si="0"/>
        <v>#DIV/0!</v>
      </c>
      <c r="U14" s="1209"/>
      <c r="V14" s="3353" t="e">
        <f t="shared" si="1"/>
        <v>#DIV/0!</v>
      </c>
      <c r="W14" s="1212"/>
      <c r="X14" s="1212"/>
      <c r="Y14" s="1212"/>
      <c r="Z14" s="1212"/>
      <c r="AA14" s="1212"/>
      <c r="AB14" s="1212"/>
      <c r="AC14" s="1213"/>
      <c r="AD14" s="2781"/>
      <c r="AE14" s="2781"/>
      <c r="AF14" s="2781"/>
      <c r="AG14" s="2781"/>
      <c r="AH14" s="2781"/>
      <c r="AI14" s="2781"/>
      <c r="AJ14" s="2782"/>
    </row>
    <row r="15" spans="1:36" ht="15">
      <c r="A15" s="3290"/>
      <c r="B15" s="2035"/>
      <c r="C15" s="2036"/>
      <c r="D15" s="2037"/>
      <c r="E15" s="2038"/>
      <c r="F15" s="3305" t="s">
        <v>3248</v>
      </c>
      <c r="G15" s="3306"/>
      <c r="H15" s="3307"/>
      <c r="I15" s="3308"/>
      <c r="J15" s="3309"/>
      <c r="K15" s="1115"/>
      <c r="L15" s="1115"/>
      <c r="M15" s="1115"/>
      <c r="N15" s="1115"/>
      <c r="O15" s="1115"/>
      <c r="P15" s="1115"/>
      <c r="Q15" s="1115"/>
      <c r="R15" s="1208">
        <v>14</v>
      </c>
      <c r="S15" s="1209"/>
      <c r="T15" s="3353" t="e">
        <f t="shared" si="0"/>
        <v>#DIV/0!</v>
      </c>
      <c r="U15" s="1209"/>
      <c r="V15" s="3353" t="e">
        <f t="shared" si="1"/>
        <v>#DIV/0!</v>
      </c>
      <c r="W15" s="1212"/>
      <c r="X15" s="1212"/>
      <c r="Y15" s="1212"/>
      <c r="Z15" s="1212"/>
      <c r="AA15" s="1212"/>
      <c r="AB15" s="1212"/>
      <c r="AC15" s="1213"/>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5"/>
      <c r="L16" s="1990"/>
      <c r="M16" s="1990"/>
      <c r="N16" s="1990"/>
      <c r="O16" s="1990"/>
      <c r="P16" s="1990"/>
      <c r="Q16" s="1115"/>
      <c r="R16" s="1208">
        <v>15</v>
      </c>
      <c r="S16" s="1209"/>
      <c r="T16" s="3353" t="e">
        <f t="shared" si="0"/>
        <v>#DIV/0!</v>
      </c>
      <c r="U16" s="1209"/>
      <c r="V16" s="3353" t="e">
        <f t="shared" si="1"/>
        <v>#DIV/0!</v>
      </c>
      <c r="W16" s="1212"/>
      <c r="X16" s="1212"/>
      <c r="Y16" s="1212"/>
      <c r="Z16" s="1212"/>
      <c r="AA16" s="1212"/>
      <c r="AB16" s="1212"/>
      <c r="AC16" s="1213"/>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t="e">
        <f>ROUND(G18/I18,2)</f>
        <v>#DIV/0!</v>
      </c>
      <c r="F17" s="3314" t="s">
        <v>3254</v>
      </c>
      <c r="G17" s="3323" t="e">
        <f>ROUND(E19/G19,2)</f>
        <v>#DIV/0!</v>
      </c>
      <c r="H17" s="3323"/>
      <c r="I17" s="3323"/>
      <c r="J17" s="3324"/>
      <c r="K17" s="1115"/>
      <c r="L17" s="1990"/>
      <c r="M17" s="1990"/>
      <c r="N17" s="1990"/>
      <c r="O17" s="1990"/>
      <c r="P17" s="1990"/>
      <c r="Q17" s="1115"/>
      <c r="R17" s="1115"/>
      <c r="S17" s="1115"/>
      <c r="T17" s="1115"/>
      <c r="U17" s="1115"/>
      <c r="V17" s="1115"/>
      <c r="W17" s="1115"/>
      <c r="X17" s="1115"/>
      <c r="Y17" s="1115"/>
      <c r="Z17" s="1116"/>
      <c r="AA17" s="1116"/>
      <c r="AB17" s="1116"/>
      <c r="AC17" s="1116"/>
      <c r="AD17" s="1116"/>
      <c r="AE17" s="1115"/>
      <c r="AF17" s="1115"/>
      <c r="AG17" s="1990"/>
      <c r="AH17" s="1990"/>
      <c r="AI17" s="1990"/>
      <c r="AJ17" s="1990"/>
    </row>
    <row r="18" spans="1:37" s="2007" customFormat="1" ht="14.25">
      <c r="A18" s="3325"/>
      <c r="B18" s="3002"/>
      <c r="C18" s="3320"/>
      <c r="D18" s="3315" t="s">
        <v>3252</v>
      </c>
      <c r="E18" s="3321"/>
      <c r="F18" s="3316" t="s">
        <v>3255</v>
      </c>
      <c r="G18" s="3320">
        <f>ROUND(1-(1/(POWER(1+G24,E18))),4)</f>
        <v>0</v>
      </c>
      <c r="H18" s="3316" t="s">
        <v>3257</v>
      </c>
      <c r="I18" s="3320">
        <f>ROUND(1-(1/(POWER(1+G24,J24))),4)</f>
        <v>0</v>
      </c>
      <c r="J18" s="3326"/>
      <c r="K18" s="1115"/>
      <c r="L18" s="1990"/>
      <c r="M18" s="1990"/>
      <c r="N18" s="1990"/>
      <c r="O18" s="1990"/>
      <c r="P18" s="1990"/>
      <c r="Q18" s="1115"/>
      <c r="R18" s="1120"/>
      <c r="S18" s="1120"/>
      <c r="T18" s="1116"/>
      <c r="U18" s="1116"/>
      <c r="V18" s="1116"/>
      <c r="W18" s="1115"/>
      <c r="X18" s="1115"/>
      <c r="Y18" s="1115"/>
      <c r="Z18" s="1121"/>
      <c r="AA18" s="1121"/>
      <c r="AB18" s="1121"/>
      <c r="AC18" s="1121"/>
      <c r="AD18" s="1121"/>
      <c r="AE18" s="1116"/>
      <c r="AF18" s="1116"/>
      <c r="AG18" s="2134"/>
      <c r="AH18" s="2134"/>
      <c r="AI18" s="2134"/>
      <c r="AJ18" s="2780"/>
    </row>
    <row r="19" spans="1:37" s="2007" customFormat="1" ht="15" thickBot="1">
      <c r="A19" s="3327"/>
      <c r="B19" s="3328"/>
      <c r="C19" s="3329"/>
      <c r="D19" s="3329" t="s">
        <v>3253</v>
      </c>
      <c r="E19" s="3330"/>
      <c r="F19" s="3331" t="s">
        <v>3256</v>
      </c>
      <c r="G19" s="3330"/>
      <c r="H19" s="3329"/>
      <c r="I19" s="3329"/>
      <c r="J19" s="3332"/>
      <c r="K19" s="1115"/>
      <c r="L19" s="1990"/>
      <c r="M19" s="1990"/>
      <c r="N19" s="1990"/>
      <c r="O19" s="1990"/>
      <c r="P19" s="1990"/>
      <c r="Q19" s="1120"/>
      <c r="R19" s="1120"/>
      <c r="S19" s="1120"/>
      <c r="T19" s="1116"/>
      <c r="U19" s="1116"/>
      <c r="V19" s="1116"/>
      <c r="W19" s="1115"/>
      <c r="X19" s="1115"/>
      <c r="Y19" s="1115"/>
      <c r="Z19" s="1121"/>
      <c r="AA19" s="1121"/>
      <c r="AB19" s="1121"/>
      <c r="AC19" s="1121"/>
      <c r="AD19" s="1121"/>
      <c r="AE19" s="1121"/>
      <c r="AF19" s="1120"/>
      <c r="AG19" s="2783"/>
      <c r="AH19" s="2134"/>
      <c r="AI19" s="2784"/>
      <c r="AJ19" s="2784"/>
      <c r="AK19" s="2050"/>
    </row>
    <row r="20" spans="1:37" s="2007" customFormat="1" ht="14.25">
      <c r="A20" s="3833" t="s">
        <v>3258</v>
      </c>
      <c r="B20" s="164" t="s">
        <v>1994</v>
      </c>
      <c r="C20" s="3317" t="e">
        <f>ROUND(IF(F21="与级别开发程度一致",0,(G21-E21)/C21),0)</f>
        <v>#DIV/0!</v>
      </c>
      <c r="D20" s="3333" t="s">
        <v>1998</v>
      </c>
      <c r="E20" s="3334"/>
      <c r="F20" s="3839" t="s">
        <v>1995</v>
      </c>
      <c r="G20" s="3840"/>
      <c r="H20" s="3318"/>
      <c r="I20" s="3318"/>
      <c r="J20" s="3319"/>
      <c r="K20" s="2040"/>
      <c r="L20" s="2040"/>
      <c r="M20" s="2040"/>
      <c r="N20" s="2040"/>
      <c r="O20" s="2041"/>
      <c r="P20" s="1990"/>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07" customFormat="1" ht="15" thickBot="1">
      <c r="A21" s="3834"/>
      <c r="B21" s="2157" t="s">
        <v>1997</v>
      </c>
      <c r="C21" s="2158">
        <f>IF(E3="M4科研用地",SUMPRODUCT((修正!A2:A7=E3)*(修正!B1:M1=G2)*(修正!B2:M7)),SUMPRODUCT((修正!A2:A7=E2)*(修正!B1:M1=G2)*(修正!B2:M7)))</f>
        <v>0</v>
      </c>
      <c r="D21" s="184"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07" customFormat="1" ht="15.75" thickBot="1">
      <c r="A22" s="2151" t="s">
        <v>363</v>
      </c>
      <c r="B22" s="2152" t="s">
        <v>2000</v>
      </c>
      <c r="C22" s="2153">
        <f>SUMIF(修正!C20:C51,E3,修正!E20:E51)</f>
        <v>0</v>
      </c>
      <c r="D22" s="2154"/>
      <c r="E22" s="2155"/>
      <c r="F22" s="2155"/>
      <c r="G22" s="2155"/>
      <c r="H22" s="2155"/>
      <c r="I22" s="2155"/>
      <c r="J22" s="2156"/>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3" t="s">
        <v>364</v>
      </c>
      <c r="B23" s="2044"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7" t="s">
        <v>2002</v>
      </c>
      <c r="E23" s="757">
        <v>44197</v>
      </c>
      <c r="F23" s="2047" t="s">
        <v>2003</v>
      </c>
      <c r="G23" s="758">
        <f>'数据-取费表'!B2</f>
        <v>44970</v>
      </c>
      <c r="H23" s="3335" t="s">
        <v>3260</v>
      </c>
      <c r="I23" s="3336" t="str">
        <f>IF(H23="季度增幅（自定义）",SUMIF(N25:N28,E2,O25:O28),"")</f>
        <v/>
      </c>
      <c r="J23" s="3438" t="s">
        <v>3259</v>
      </c>
      <c r="K23" s="1121"/>
      <c r="L23" s="2048" t="s">
        <v>2004</v>
      </c>
      <c r="M23" s="1324">
        <f>ROUND(SUMIF(地价!B2:G2,E2,地价!B16:G16),0)</f>
        <v>0</v>
      </c>
      <c r="N23" s="2049" t="s">
        <v>2005</v>
      </c>
      <c r="O23" s="759">
        <f>ROUNDDOWN(DATEDIF(E23,G23,"M")/3,0)</f>
        <v>8</v>
      </c>
      <c r="P23" s="1118"/>
      <c r="Q23" s="278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7" customFormat="1" ht="24.75" thickBot="1">
      <c r="A24" s="2051" t="s">
        <v>365</v>
      </c>
      <c r="B24" s="2052" t="s">
        <v>2006</v>
      </c>
      <c r="C24" s="760" t="e">
        <f>ROUND(POWER(1+G24,J24-I24)*(POWER(1+G24,I24)-1)/(POWER(1+G24,J24)-1),4)</f>
        <v>#DIV/0!</v>
      </c>
      <c r="D24" s="2053" t="s">
        <v>2007</v>
      </c>
      <c r="E24" s="1331">
        <f>存贷款利率!E22/100</f>
        <v>4.3499999999999997E-2</v>
      </c>
      <c r="F24" s="2053" t="s">
        <v>1999</v>
      </c>
      <c r="G24" s="764">
        <f>SUMIF(M30:Q30,E2,M33:Q33)</f>
        <v>0</v>
      </c>
      <c r="H24" s="2053" t="s">
        <v>2008</v>
      </c>
      <c r="I24" s="765" t="e">
        <f>SUMIF('数据-取费表'!C6:C15,E2,'数据-取费表'!F6:F15)/COUNTIF('数据-取费表'!C6:C15,E2)</f>
        <v>#DIV/0!</v>
      </c>
      <c r="J24" s="766">
        <f>IF(E2="住宅",70,IF(E2="商业",40,50))</f>
        <v>50</v>
      </c>
      <c r="K24" s="1121"/>
      <c r="L24" s="2054" t="s">
        <v>2009</v>
      </c>
      <c r="M24" s="1325">
        <f>ROUND(SUMPRODUCT((地价!A4:A16=YEAR(G23)&amp;"-"&amp;ROUNDUP(MONTH(G23)/3,0))*(地价!B2:G2=E2)*(地价!B4:G16)),0)</f>
        <v>0</v>
      </c>
      <c r="N24" s="2055" t="s">
        <v>2010</v>
      </c>
      <c r="O24" s="2056" t="s">
        <v>2011</v>
      </c>
      <c r="P24" s="2057" t="s">
        <v>2012</v>
      </c>
      <c r="Q24" s="1990"/>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58" t="s">
        <v>366</v>
      </c>
      <c r="B25" s="2059" t="s">
        <v>3339</v>
      </c>
      <c r="C25" s="767">
        <f>IF(B25="容积率修正",IF(G3&lt;10,D26,J26),C27)</f>
        <v>0</v>
      </c>
      <c r="D25" s="2060"/>
      <c r="E25" s="2060"/>
      <c r="F25" s="2060"/>
      <c r="G25" s="2060"/>
      <c r="H25" s="2060"/>
      <c r="I25" s="2060"/>
      <c r="J25" s="2061"/>
      <c r="K25" s="1121"/>
      <c r="L25" s="2780"/>
      <c r="M25" s="2780"/>
      <c r="N25" s="2062" t="s">
        <v>2013</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48" t="s">
        <v>2014</v>
      </c>
      <c r="B26" s="2063" t="s">
        <v>2015</v>
      </c>
      <c r="C26" s="3337" t="s">
        <v>3261</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3262</v>
      </c>
      <c r="J26" s="768" t="str">
        <f>IF(G3&gt;=10,D115,"——")</f>
        <v>——</v>
      </c>
      <c r="K26" s="1121"/>
      <c r="L26" s="2780"/>
      <c r="M26" s="2780"/>
      <c r="N26" s="2062" t="s">
        <v>2016</v>
      </c>
      <c r="O26" s="1169"/>
      <c r="P26" s="1170">
        <f>SUMPRODUCT((地价!A3:A40=YEAR(G23)&amp;"-"&amp;ROUNDUP(MONTH(G23)/3,0))*(地价!AD2:AH2=N26)*(地价!AD3:AH40))</f>
        <v>0</v>
      </c>
      <c r="Q26" s="1990"/>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48" t="s">
        <v>2017</v>
      </c>
      <c r="B27" s="2064" t="s">
        <v>2018</v>
      </c>
      <c r="C27" s="837">
        <f>ROUND(IF(I3&lt;6,SUMPRODUCT((B106:B110=I3)*(C105:N105=G2)*(C106:N110)),SUMIF(C105:N105,G2,C112:N112)),4)</f>
        <v>0</v>
      </c>
      <c r="D27" s="2039"/>
      <c r="E27" s="2039"/>
      <c r="F27" s="2065"/>
      <c r="G27" s="2066"/>
      <c r="H27" s="2067"/>
      <c r="I27" s="2068"/>
      <c r="J27" s="2069"/>
      <c r="K27" s="1115"/>
      <c r="L27" s="1990"/>
      <c r="M27" s="1990"/>
      <c r="N27" s="2062" t="s">
        <v>2019</v>
      </c>
      <c r="O27" s="1169"/>
      <c r="P27" s="1170">
        <f>SUMPRODUCT((地价!A3:A40=YEAR(G23)&amp;"-"&amp;ROUNDUP(MONTH(G23)/3,0))*(地价!AD2:AH2=N27)*(地价!AD3:AH40))</f>
        <v>0</v>
      </c>
      <c r="Q27" s="1990"/>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2020</v>
      </c>
      <c r="C28" s="756">
        <f>SUMIF(A47:A101,E2,B47:B101)</f>
        <v>0</v>
      </c>
      <c r="D28" s="2045"/>
      <c r="E28" s="2070"/>
      <c r="F28" s="2070"/>
      <c r="G28" s="2070"/>
      <c r="H28" s="2070"/>
      <c r="I28" s="2070"/>
      <c r="J28" s="2071"/>
      <c r="K28" s="1121"/>
      <c r="L28" s="2780"/>
      <c r="M28" s="2780"/>
      <c r="N28" s="2072"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2022</v>
      </c>
      <c r="C29" s="761"/>
      <c r="D29" s="2017"/>
      <c r="E29" s="2017"/>
      <c r="F29" s="2074"/>
      <c r="G29" s="2017"/>
      <c r="H29" s="2017"/>
      <c r="I29" s="2017"/>
      <c r="J29" s="2018"/>
      <c r="K29" s="1115"/>
      <c r="L29" s="1990"/>
      <c r="M29" s="1990"/>
      <c r="N29" s="2777" t="s">
        <v>2023</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0"/>
      <c r="AH29" s="1990"/>
      <c r="AI29" s="1990"/>
      <c r="AJ29" s="1990"/>
    </row>
    <row r="30" spans="1:37" ht="15">
      <c r="A30" s="2075"/>
      <c r="B30" s="2063" t="s">
        <v>2024</v>
      </c>
      <c r="C30" s="2314" t="e">
        <f>IF(B25="容积率修正",E33+SUM(E37:E42),SUM(V2:V16)+SUM(E37:E42))</f>
        <v>#DIV/0!</v>
      </c>
      <c r="D30" s="2076"/>
      <c r="E30" s="2039"/>
      <c r="F30" s="2077"/>
      <c r="G30" s="2039"/>
      <c r="H30" s="2039"/>
      <c r="I30" s="2039"/>
      <c r="J30" s="2078"/>
      <c r="K30" s="1115"/>
      <c r="L30" s="3343" t="s">
        <v>1936</v>
      </c>
      <c r="M30" s="3344" t="s">
        <v>1990</v>
      </c>
      <c r="N30" s="3344" t="s">
        <v>1991</v>
      </c>
      <c r="O30" s="3344" t="s">
        <v>1992</v>
      </c>
      <c r="P30" s="3344" t="s">
        <v>1993</v>
      </c>
      <c r="Q30" s="3347" t="s">
        <v>3266</v>
      </c>
      <c r="R30" s="1120"/>
      <c r="S30" s="1120"/>
      <c r="T30" s="1116"/>
      <c r="U30" s="1116"/>
      <c r="V30" s="1116"/>
      <c r="W30" s="1115"/>
      <c r="X30" s="1115"/>
      <c r="Y30" s="1115"/>
      <c r="Z30" s="1121"/>
      <c r="AA30" s="1121"/>
      <c r="AB30" s="1121"/>
      <c r="AC30" s="1121"/>
      <c r="AD30" s="1121"/>
      <c r="AE30" s="1115"/>
      <c r="AF30" s="1115"/>
      <c r="AG30" s="1990"/>
      <c r="AH30" s="1990"/>
      <c r="AI30" s="1990"/>
      <c r="AJ30" s="1990"/>
    </row>
    <row r="31" spans="1:37" ht="15.75" thickBot="1">
      <c r="A31" s="2075"/>
      <c r="B31" s="2079" t="s">
        <v>2025</v>
      </c>
      <c r="C31" s="762" t="e">
        <f>E34+SUM(I37:I42)</f>
        <v>#DIV/0!</v>
      </c>
      <c r="D31" s="2080"/>
      <c r="E31" s="2081"/>
      <c r="F31" s="2082"/>
      <c r="G31" s="2081"/>
      <c r="H31" s="2081"/>
      <c r="I31" s="2081"/>
      <c r="J31" s="2083"/>
      <c r="K31" s="1115"/>
      <c r="L31" s="3345" t="s">
        <v>1996</v>
      </c>
      <c r="M31" s="1993">
        <v>0.25</v>
      </c>
      <c r="N31" s="1993">
        <v>0.2</v>
      </c>
      <c r="O31" s="1993">
        <v>0.15</v>
      </c>
      <c r="P31" s="1993">
        <v>0.1</v>
      </c>
      <c r="Q31" s="3340">
        <v>0.15</v>
      </c>
      <c r="R31" s="1120"/>
      <c r="S31" s="1120"/>
      <c r="T31" s="1116"/>
      <c r="U31" s="1116"/>
      <c r="V31" s="1116"/>
      <c r="W31" s="1115"/>
      <c r="X31" s="1115"/>
      <c r="Y31" s="1115"/>
      <c r="Z31" s="1121"/>
      <c r="AA31" s="1121"/>
      <c r="AB31" s="1121"/>
      <c r="AC31" s="1121"/>
      <c r="AD31" s="1121"/>
      <c r="AE31" s="1115"/>
      <c r="AF31" s="1115"/>
      <c r="AG31" s="1990"/>
      <c r="AH31" s="1990"/>
      <c r="AI31" s="1990"/>
      <c r="AJ31" s="1990"/>
    </row>
    <row r="32" spans="1:37" ht="15.75" thickBot="1">
      <c r="A32" s="2084"/>
      <c r="B32" s="2085" t="s">
        <v>2026</v>
      </c>
      <c r="C32" s="2086" t="s">
        <v>2027</v>
      </c>
      <c r="D32" s="2086" t="s">
        <v>2028</v>
      </c>
      <c r="E32" s="2087" t="s">
        <v>2029</v>
      </c>
      <c r="F32" s="2088"/>
      <c r="G32" s="2030"/>
      <c r="H32" s="2030"/>
      <c r="I32" s="2030"/>
      <c r="J32" s="2031"/>
      <c r="K32" s="1115"/>
      <c r="L32" s="3346" t="s">
        <v>1999</v>
      </c>
      <c r="M32" s="2562">
        <f>ROUND($E$24*(1+M31),3)</f>
        <v>5.3999999999999999E-2</v>
      </c>
      <c r="N32" s="2562">
        <f>ROUND($E$24*(1+N31),3)</f>
        <v>5.1999999999999998E-2</v>
      </c>
      <c r="O32" s="2562">
        <f>ROUND($E$24*(1+O31),3)</f>
        <v>0.05</v>
      </c>
      <c r="P32" s="2562">
        <f>ROUND($E$24*(1+P31),3)</f>
        <v>4.8000000000000001E-2</v>
      </c>
      <c r="Q32" s="3348">
        <f>ROUND($E$24*(1+Q31),3)</f>
        <v>0.05</v>
      </c>
      <c r="R32" s="1120"/>
      <c r="S32" s="1120"/>
      <c r="T32" s="1116"/>
      <c r="U32" s="1116"/>
      <c r="V32" s="1116"/>
      <c r="W32" s="1115"/>
      <c r="X32" s="1115"/>
      <c r="Y32" s="1115"/>
      <c r="Z32" s="1121"/>
      <c r="AA32" s="1121"/>
      <c r="AB32" s="1121"/>
      <c r="AC32" s="1121"/>
      <c r="AD32" s="1121"/>
      <c r="AE32" s="1115"/>
      <c r="AF32" s="1115"/>
      <c r="AG32" s="1990"/>
      <c r="AH32" s="1990"/>
      <c r="AI32" s="1990"/>
      <c r="AJ32" s="1990"/>
    </row>
    <row r="33" spans="1:37" ht="14.25">
      <c r="A33" s="2089"/>
      <c r="B33" s="2090" t="s">
        <v>2030</v>
      </c>
      <c r="C33" s="172" t="e">
        <f>ROUND(C5*C22*C23*C24*C25*C28,0)</f>
        <v>#DIV/0!</v>
      </c>
      <c r="D33" s="2091"/>
      <c r="E33" s="769" t="e">
        <f>ROUND(C33*D33/10000,0)</f>
        <v>#DIV/0!</v>
      </c>
      <c r="F33" s="3338" t="s">
        <v>3264</v>
      </c>
      <c r="G33" s="2092"/>
      <c r="H33" s="2092"/>
      <c r="I33" s="2092"/>
      <c r="J33" s="2093"/>
      <c r="K33" s="1115"/>
      <c r="L33" s="3341" t="s">
        <v>3267</v>
      </c>
      <c r="M33" s="3342">
        <v>5.5E-2</v>
      </c>
      <c r="N33" s="3342">
        <v>5.5E-2</v>
      </c>
      <c r="O33" s="3342">
        <v>0.05</v>
      </c>
      <c r="P33" s="3342">
        <v>0.05</v>
      </c>
      <c r="Q33" s="3342">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2031</v>
      </c>
      <c r="C34" s="184" t="e">
        <f>ROUND(IF(E2="工业",C33*M42,IF(B25="楼层修正",SUM(V2:V16)*M41*10000/D34,C33*M41)),0)</f>
        <v>#DIV/0!</v>
      </c>
      <c r="D34" s="2096"/>
      <c r="E34" s="769" t="e">
        <f>ROUND(IF(B25="楼层修正",SUM(V2:V16)*M40,C34*D34/10000),0)</f>
        <v>#DIV/0!</v>
      </c>
      <c r="F34" s="2097" t="s">
        <v>2032</v>
      </c>
      <c r="G34" s="2098"/>
      <c r="H34" s="2098"/>
      <c r="I34" s="2098"/>
      <c r="J34" s="2099"/>
      <c r="K34" s="1115"/>
      <c r="L34" s="3341" t="s">
        <v>3268</v>
      </c>
      <c r="M34" s="3342">
        <v>6.5000000000000002E-2</v>
      </c>
      <c r="N34" s="3342">
        <v>6.5000000000000002E-2</v>
      </c>
      <c r="O34" s="3342">
        <v>0.06</v>
      </c>
      <c r="P34" s="3342">
        <v>0.06</v>
      </c>
      <c r="Q34" s="3342">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2033</v>
      </c>
      <c r="C35" s="3339" t="s">
        <v>3265</v>
      </c>
      <c r="D35" s="2030"/>
      <c r="E35" s="2102"/>
      <c r="F35" s="2102"/>
      <c r="G35" s="2028" t="s">
        <v>2034</v>
      </c>
      <c r="H35" s="2030"/>
      <c r="I35" s="2103"/>
      <c r="J35" s="2031"/>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47" t="s">
        <v>2027</v>
      </c>
      <c r="D36" s="444" t="s">
        <v>2028</v>
      </c>
      <c r="E36" s="444" t="s">
        <v>2029</v>
      </c>
      <c r="F36" s="339" t="s">
        <v>2035</v>
      </c>
      <c r="G36" s="2105" t="s">
        <v>2027</v>
      </c>
      <c r="H36" s="2105" t="s">
        <v>2028</v>
      </c>
      <c r="I36" s="2105" t="s">
        <v>2029</v>
      </c>
      <c r="J36" s="240"/>
      <c r="K36" s="3349" t="s">
        <v>3269</v>
      </c>
      <c r="L36" s="3439">
        <f ca="1">'数据-取费表'!B40</f>
        <v>4.7500000000000001E-2</v>
      </c>
      <c r="M36" s="3350">
        <f ca="1">ROUND($L$36*(1+M31),3)</f>
        <v>5.8999999999999997E-2</v>
      </c>
      <c r="N36" s="3350">
        <f ca="1">ROUND($L$36*(1+N31),3)</f>
        <v>5.7000000000000002E-2</v>
      </c>
      <c r="O36" s="3350">
        <f ca="1">ROUND($L$36*(1+O31),3)</f>
        <v>5.5E-2</v>
      </c>
      <c r="P36" s="3350">
        <f ca="1">ROUND($L$36*(1+P31),3)</f>
        <v>5.1999999999999998E-2</v>
      </c>
      <c r="Q36" s="3350">
        <f ca="1">ROUND($L$36*(1+Q31),3)</f>
        <v>5.5E-2</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837"/>
      <c r="B37" s="2106" t="s">
        <v>2036</v>
      </c>
      <c r="C37" s="172" t="e">
        <f>ROUND(D5*C22*C23*C24*C28*F37,0)</f>
        <v>#DIV/0!</v>
      </c>
      <c r="D37" s="2091"/>
      <c r="E37" s="168" t="e">
        <f>ROUND(C37*D37/10000,0)</f>
        <v>#DIV/0!</v>
      </c>
      <c r="F37" s="168">
        <f>SUMIF(修正!A57:A68,G2,修正!B57:B68)</f>
        <v>0</v>
      </c>
      <c r="G37" s="168" t="e">
        <f>ROUND(IF(E2="工业",C37*$M$42,C37*$M$41),0)</f>
        <v>#DIV/0!</v>
      </c>
      <c r="H37" s="168">
        <f>D37</f>
        <v>0</v>
      </c>
      <c r="I37" s="168" t="e">
        <f>ROUND(G37*H37/10000,0)</f>
        <v>#DIV/0!</v>
      </c>
      <c r="J37" s="3004"/>
      <c r="K37" s="3351" t="s">
        <v>3270</v>
      </c>
      <c r="L37" s="3349">
        <f ca="1">L36+K38</f>
        <v>5.2499999999999998E-2</v>
      </c>
      <c r="M37" s="3350">
        <f ca="1">ROUND($L$37*(1+M31),3)</f>
        <v>6.6000000000000003E-2</v>
      </c>
      <c r="N37" s="3350">
        <f t="shared" ref="N37:Q37" ca="1" si="3">ROUND($L$37*(1+N31),3)</f>
        <v>6.3E-2</v>
      </c>
      <c r="O37" s="3350">
        <f t="shared" ca="1" si="3"/>
        <v>0.06</v>
      </c>
      <c r="P37" s="3350">
        <f t="shared" ca="1" si="3"/>
        <v>5.8000000000000003E-2</v>
      </c>
      <c r="Q37" s="3350">
        <f t="shared" ca="1" si="3"/>
        <v>0.06</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838"/>
      <c r="B38" s="2034" t="s">
        <v>2037</v>
      </c>
      <c r="C38" s="172" t="e">
        <f>ROUND(D5*C22*C23*C24*C28*F38,0)</f>
        <v>#DIV/0!</v>
      </c>
      <c r="D38" s="2091"/>
      <c r="E38" s="168" t="e">
        <f t="shared" ref="E38:E42" si="4">ROUND(C38*D38/10000,0)</f>
        <v>#DIV/0!</v>
      </c>
      <c r="F38" s="168">
        <f>SUMIF(修正!A57:A68,G2,修正!C57:C68)</f>
        <v>0</v>
      </c>
      <c r="G38" s="168" t="e">
        <f>ROUND(IF(E2="工业",C38*$M$42,C38*$M$41),0)</f>
        <v>#DIV/0!</v>
      </c>
      <c r="H38" s="168">
        <f t="shared" ref="H38:H42" si="5">D38</f>
        <v>0</v>
      </c>
      <c r="I38" s="168" t="e">
        <f t="shared" ref="I38:I42" si="6">ROUND(G38*H38/10000,0)</f>
        <v>#DIV/0!</v>
      </c>
      <c r="J38" s="3003"/>
      <c r="K38" s="3349">
        <v>5.0000000000000001E-3</v>
      </c>
      <c r="L38" s="3349"/>
      <c r="M38" s="3349"/>
      <c r="N38" s="3349"/>
      <c r="O38" s="3349"/>
      <c r="P38" s="3349"/>
      <c r="Q38" s="3349"/>
      <c r="R38" s="1115"/>
      <c r="S38" s="1115"/>
      <c r="T38" s="1115"/>
      <c r="U38" s="1115"/>
      <c r="V38" s="1115"/>
      <c r="W38" s="1115"/>
      <c r="X38" s="1115"/>
      <c r="Y38" s="1115"/>
      <c r="Z38" s="1116"/>
      <c r="AA38" s="1116"/>
      <c r="AB38" s="1116"/>
      <c r="AC38" s="1116"/>
      <c r="AD38" s="1116"/>
    </row>
    <row r="39" spans="1:37" ht="13.5" thickBot="1">
      <c r="A39" s="3838"/>
      <c r="B39" s="2034" t="s">
        <v>3263</v>
      </c>
      <c r="C39" s="172" t="e">
        <f>ROUND(D5*C22*C23*C24*C28*F39,0)</f>
        <v>#DIV/0!</v>
      </c>
      <c r="D39" s="2091"/>
      <c r="E39" s="168" t="e">
        <f t="shared" si="4"/>
        <v>#DIV/0!</v>
      </c>
      <c r="F39" s="168">
        <f>SUMIF(修正!A57:A68,G2,修正!D57:D68)</f>
        <v>0</v>
      </c>
      <c r="G39" s="168" t="e">
        <f>ROUND(IF(E2="工业",C39*$M$42,C39*$M$41),0)</f>
        <v>#DIV/0!</v>
      </c>
      <c r="H39" s="168">
        <f t="shared" si="5"/>
        <v>0</v>
      </c>
      <c r="I39" s="168" t="e">
        <f t="shared" si="6"/>
        <v>#DIV/0!</v>
      </c>
      <c r="J39" s="3003"/>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4" t="s">
        <v>2038</v>
      </c>
      <c r="C40" s="168" t="e">
        <f>ROUND(D5*C22*C23*C24*C28*F40,0)</f>
        <v>#DIV/0!</v>
      </c>
      <c r="D40" s="2091"/>
      <c r="E40" s="168" t="e">
        <f t="shared" si="4"/>
        <v>#DIV/0!</v>
      </c>
      <c r="F40" s="172">
        <f>SUMIF(修正!A57:A68,G2,修正!E57:E68)</f>
        <v>0</v>
      </c>
      <c r="G40" s="168" t="e">
        <f>ROUND(IF(E2="工业",C40*$M$42,C40*$M$41),0)</f>
        <v>#DIV/0!</v>
      </c>
      <c r="H40" s="168">
        <f t="shared" si="5"/>
        <v>0</v>
      </c>
      <c r="I40" s="168" t="e">
        <f t="shared" si="6"/>
        <v>#DIV/0!</v>
      </c>
      <c r="J40" s="2107"/>
      <c r="L40" s="2109" t="s">
        <v>2039</v>
      </c>
      <c r="M40" s="2110"/>
      <c r="Z40" s="1116"/>
      <c r="AA40" s="1116"/>
      <c r="AB40" s="1116"/>
      <c r="AC40" s="1116"/>
      <c r="AD40" s="1116"/>
      <c r="AE40" s="1116"/>
      <c r="AF40" s="1116"/>
      <c r="AG40" s="1116"/>
      <c r="AH40" s="1116"/>
      <c r="AI40" s="1116"/>
      <c r="AJ40" s="1116"/>
    </row>
    <row r="41" spans="1:37" s="1115" customFormat="1">
      <c r="A41" s="2108"/>
      <c r="B41" s="2034" t="s">
        <v>2040</v>
      </c>
      <c r="C41" s="168" t="e">
        <f>ROUND(D5*C22*C23*C44*C28*F41,0)</f>
        <v>#DIV/0!</v>
      </c>
      <c r="D41" s="2091"/>
      <c r="E41" s="168" t="e">
        <f t="shared" si="4"/>
        <v>#DIV/0!</v>
      </c>
      <c r="F41" s="172">
        <f>SUMIF(修正!A57:A68,G2,修正!F57:F68)</f>
        <v>0</v>
      </c>
      <c r="G41" s="168" t="e">
        <f>ROUND(IF(E2="工业",C41*$M$42,C41*$M$41),0)</f>
        <v>#DIV/0!</v>
      </c>
      <c r="H41" s="168">
        <f t="shared" si="5"/>
        <v>0</v>
      </c>
      <c r="I41" s="168" t="e">
        <f t="shared" si="6"/>
        <v>#DIV/0!</v>
      </c>
      <c r="J41" s="2107"/>
      <c r="L41" s="3352" t="s">
        <v>3271</v>
      </c>
      <c r="M41" s="2111">
        <v>0.25</v>
      </c>
      <c r="Z41" s="1116"/>
      <c r="AA41" s="1116"/>
      <c r="AB41" s="1116"/>
      <c r="AC41" s="1116"/>
      <c r="AD41" s="1116"/>
      <c r="AE41" s="1116"/>
      <c r="AF41" s="1116"/>
      <c r="AG41" s="1116"/>
      <c r="AH41" s="1116"/>
      <c r="AI41" s="1116"/>
      <c r="AJ41" s="1116"/>
    </row>
    <row r="42" spans="1:37" s="1115" customFormat="1" ht="13.5" thickBot="1">
      <c r="A42" s="2094"/>
      <c r="B42" s="2112" t="s">
        <v>2041</v>
      </c>
      <c r="C42" s="184" t="e">
        <f>ROUND(D5*C22*C23*C44*C28*F42,0)</f>
        <v>#DIV/0!</v>
      </c>
      <c r="D42" s="2096"/>
      <c r="E42" s="184" t="e">
        <f t="shared" si="4"/>
        <v>#DIV/0!</v>
      </c>
      <c r="F42" s="763">
        <f>SUMIF(修正!A57:A68,G2,修正!G57:G68)</f>
        <v>0</v>
      </c>
      <c r="G42" s="184" t="e">
        <f>ROUND(IF(E2="工业",C42*$M$42,C42*$M$41),0)</f>
        <v>#DIV/0!</v>
      </c>
      <c r="H42" s="184">
        <f t="shared" si="5"/>
        <v>0</v>
      </c>
      <c r="I42" s="184" t="e">
        <f t="shared" si="6"/>
        <v>#DIV/0!</v>
      </c>
      <c r="J42" s="2113"/>
      <c r="L42" s="2114" t="s">
        <v>1993</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2122</v>
      </c>
      <c r="C44" s="339" t="e">
        <f>ROUND(POWER(1+E44,H44-G44)*(POWER(1+E44,G44)-1)/(POWER(1+E44,H44)-1),4)</f>
        <v>#DIV/0!</v>
      </c>
      <c r="D44" s="168" t="s">
        <v>1999</v>
      </c>
      <c r="E44" s="2146">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2042</v>
      </c>
      <c r="B47" s="2118"/>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19" t="s">
        <v>2043</v>
      </c>
      <c r="B48" s="2120">
        <f>1+E50</f>
        <v>1</v>
      </c>
      <c r="C48" s="2121"/>
      <c r="D48" s="737"/>
      <c r="E48" s="738"/>
      <c r="F48" s="2122"/>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3" t="s">
        <v>2044</v>
      </c>
      <c r="B49" s="1347" t="s">
        <v>2045</v>
      </c>
      <c r="C49" s="1347" t="s">
        <v>2046</v>
      </c>
      <c r="D49" s="1347" t="s">
        <v>2047</v>
      </c>
      <c r="E49" s="739" t="s">
        <v>2048</v>
      </c>
      <c r="F49" s="2124" t="s">
        <v>2049</v>
      </c>
      <c r="G49" s="1347" t="s">
        <v>310</v>
      </c>
      <c r="H49" s="2125"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3" t="s">
        <v>2052</v>
      </c>
      <c r="B50" s="2126" t="str">
        <f>估价对象房地状况!C4</f>
        <v>估价对象位于XX商圈，周边商业氛围成熟，人流量大，商业繁华度好</v>
      </c>
      <c r="C50" s="2037"/>
      <c r="D50" s="1061">
        <f t="shared" ref="D50:D58" si="7">SUMIF($J$49:$N$49,C50,J50:N50)</f>
        <v>0</v>
      </c>
      <c r="E50" s="740">
        <f>ROUND(SUM(D50:D58),4)</f>
        <v>0</v>
      </c>
      <c r="F50" s="1810" t="str">
        <f>IF(E2="商业",SUMIF(L1:L12,G2,N1:N12),"——")</f>
        <v>——</v>
      </c>
      <c r="G50" s="1059"/>
      <c r="H50" s="1062" t="str">
        <f t="shared" ref="H50:H58" si="8">IFERROR(ROUNDDOWN($F$50*I50/2,4),"——")</f>
        <v>——</v>
      </c>
      <c r="I50" s="3359">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76.5">
      <c r="A51" s="2123" t="s">
        <v>2053</v>
      </c>
      <c r="B51" s="2127" t="str">
        <f>估价对象房地状况!C18</f>
        <v>估价对象邻近城市高速路-京台高速，附近有兴16路、兴38路、专83路等公交线路，周边道路状况、公共交通通达情况、停车便捷程度，综合评价交通便捷度较好</v>
      </c>
      <c r="C51" s="2037"/>
      <c r="D51" s="1061">
        <f t="shared" si="7"/>
        <v>0</v>
      </c>
      <c r="E51" s="741"/>
      <c r="F51" s="1810"/>
      <c r="G51" s="1059"/>
      <c r="H51" s="1062" t="str">
        <f t="shared" si="8"/>
        <v>——</v>
      </c>
      <c r="I51" s="3359">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1" t="s">
        <v>3273</v>
      </c>
      <c r="B52" s="2127">
        <f>估价对象房地状况!C19</f>
        <v>0</v>
      </c>
      <c r="C52" s="2037"/>
      <c r="D52" s="1061">
        <f t="shared" si="7"/>
        <v>0</v>
      </c>
      <c r="E52" s="741"/>
      <c r="F52" s="1810"/>
      <c r="G52" s="1059"/>
      <c r="H52" s="1062" t="str">
        <f t="shared" si="8"/>
        <v>——</v>
      </c>
      <c r="I52" s="3359">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3" t="s">
        <v>2054</v>
      </c>
      <c r="B53" s="2128" t="s">
        <v>2055</v>
      </c>
      <c r="C53" s="2037"/>
      <c r="D53" s="1061">
        <f t="shared" si="7"/>
        <v>0</v>
      </c>
      <c r="E53" s="741"/>
      <c r="F53" s="1810"/>
      <c r="G53" s="1059"/>
      <c r="H53" s="1062" t="str">
        <f t="shared" si="8"/>
        <v>——</v>
      </c>
      <c r="I53" s="3359">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3" t="s">
        <v>2056</v>
      </c>
      <c r="B54" s="2127">
        <f>估价对象房地状况!C24</f>
        <v>0</v>
      </c>
      <c r="C54" s="2037"/>
      <c r="D54" s="1061">
        <f t="shared" si="7"/>
        <v>0</v>
      </c>
      <c r="E54" s="741"/>
      <c r="F54" s="1810"/>
      <c r="G54" s="1059"/>
      <c r="H54" s="1062" t="str">
        <f t="shared" si="8"/>
        <v>——</v>
      </c>
      <c r="I54" s="3359">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3" t="s">
        <v>2057</v>
      </c>
      <c r="B55" s="2129" t="s">
        <v>2058</v>
      </c>
      <c r="C55" s="2037"/>
      <c r="D55" s="1061">
        <f t="shared" si="7"/>
        <v>0</v>
      </c>
      <c r="E55" s="741"/>
      <c r="F55" s="1810"/>
      <c r="G55" s="1059"/>
      <c r="H55" s="1062" t="str">
        <f t="shared" si="8"/>
        <v>——</v>
      </c>
      <c r="I55" s="3359">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76.5">
      <c r="A56" s="2130" t="s">
        <v>2059</v>
      </c>
      <c r="B56" s="1322" t="str">
        <f>估价对象房地状况!C21</f>
        <v>估价对象周边有红星中学、瀛海镇第一中心小学、瀛海一幼幼儿园等教育机构，有肃宁正骨医院医疗设施，有北京农商银行等金融机构，公共配套设施状况一般</v>
      </c>
      <c r="C56" s="2037"/>
      <c r="D56" s="1061">
        <f t="shared" si="7"/>
        <v>0</v>
      </c>
      <c r="E56" s="741"/>
      <c r="F56" s="1810"/>
      <c r="G56" s="1059"/>
      <c r="H56" s="1062" t="str">
        <f t="shared" si="8"/>
        <v>——</v>
      </c>
      <c r="I56" s="3359">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0" t="s">
        <v>2060</v>
      </c>
      <c r="B57" s="2127" t="str">
        <f>估价对象房地状况!C22</f>
        <v>估价对象所在区域基础设施水平-六通</v>
      </c>
      <c r="C57" s="2037"/>
      <c r="D57" s="1061">
        <f t="shared" si="7"/>
        <v>0</v>
      </c>
      <c r="E57" s="741"/>
      <c r="F57" s="1810"/>
      <c r="G57" s="1059"/>
      <c r="H57" s="1062" t="str">
        <f t="shared" si="8"/>
        <v>——</v>
      </c>
      <c r="I57" s="3359">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51.75" thickBot="1">
      <c r="A58" s="2131" t="s">
        <v>2061</v>
      </c>
      <c r="B58" s="2132" t="str">
        <f>估价对象房地状况!C20</f>
        <v>周边3公里范围内有南海子公园、志远庄公园等自然景观，人文景观较少，综合评价环境状况一般</v>
      </c>
      <c r="C58" s="2037"/>
      <c r="D58" s="1061">
        <f t="shared" si="7"/>
        <v>0</v>
      </c>
      <c r="E58" s="742"/>
      <c r="F58" s="1810"/>
      <c r="G58" s="1059"/>
      <c r="H58" s="1062" t="str">
        <f t="shared" si="8"/>
        <v>——</v>
      </c>
      <c r="I58" s="3360">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19" t="s">
        <v>2062</v>
      </c>
      <c r="B59" s="2120">
        <f>1+E61</f>
        <v>1</v>
      </c>
      <c r="C59" s="737"/>
      <c r="D59" s="737"/>
      <c r="E59" s="738"/>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2044</v>
      </c>
      <c r="B60" s="1347"/>
      <c r="C60" s="1347" t="s">
        <v>2046</v>
      </c>
      <c r="D60" s="1347" t="s">
        <v>2047</v>
      </c>
      <c r="E60" s="739" t="s">
        <v>2048</v>
      </c>
      <c r="F60" s="2124" t="s">
        <v>2063</v>
      </c>
      <c r="G60" s="1347" t="s">
        <v>310</v>
      </c>
      <c r="H60" s="2125"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3" t="s">
        <v>2064</v>
      </c>
      <c r="B61" s="2126" t="str">
        <f>估价对象房地状况!C17</f>
        <v>估价对象位于XX商圈，周边办公楼项目较多，入驻率高，办公集聚程度较好</v>
      </c>
      <c r="C61" s="2037"/>
      <c r="D61" s="1061">
        <f t="shared" ref="D61:D69" si="12">SUMIF($J$60:$N$60,C61,J61:N61)</f>
        <v>0</v>
      </c>
      <c r="E61" s="740">
        <f>ROUND(SUM(D61:D69),4)</f>
        <v>0</v>
      </c>
      <c r="F61" s="1810" t="str">
        <f>IF(E2="办公",SUMIF(L1:L12,G2,N1:N12),"——")</f>
        <v>——</v>
      </c>
      <c r="G61" s="1059"/>
      <c r="H61" s="1062" t="str">
        <f t="shared" ref="H61:H69" si="13">IFERROR(ROUNDDOWN($F$61*I61/2,4),"——")</f>
        <v>——</v>
      </c>
      <c r="I61" s="3359">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76.5">
      <c r="A62" s="2123" t="s">
        <v>2053</v>
      </c>
      <c r="B62" s="2127" t="str">
        <f>估价对象房地状况!C18</f>
        <v>估价对象邻近城市高速路-京台高速，附近有兴16路、兴38路、专83路等公交线路，周边道路状况、公共交通通达情况、停车便捷程度，综合评价交通便捷度较好</v>
      </c>
      <c r="C62" s="2037"/>
      <c r="D62" s="1061">
        <f t="shared" si="12"/>
        <v>0</v>
      </c>
      <c r="E62" s="741"/>
      <c r="F62" s="1810"/>
      <c r="G62" s="1059"/>
      <c r="H62" s="1062" t="str">
        <f t="shared" si="13"/>
        <v>——</v>
      </c>
      <c r="I62" s="3359">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1" t="s">
        <v>3273</v>
      </c>
      <c r="B63" s="2127">
        <f>估价对象房地状况!C19</f>
        <v>0</v>
      </c>
      <c r="C63" s="2037"/>
      <c r="D63" s="1061">
        <f t="shared" si="12"/>
        <v>0</v>
      </c>
      <c r="E63" s="741"/>
      <c r="F63" s="1810"/>
      <c r="G63" s="1059"/>
      <c r="H63" s="1062" t="str">
        <f t="shared" si="13"/>
        <v>——</v>
      </c>
      <c r="I63" s="3359">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3" t="s">
        <v>2054</v>
      </c>
      <c r="B64" s="2128" t="s">
        <v>2055</v>
      </c>
      <c r="C64" s="2037"/>
      <c r="D64" s="1061">
        <f t="shared" si="12"/>
        <v>0</v>
      </c>
      <c r="E64" s="741"/>
      <c r="F64" s="1810"/>
      <c r="G64" s="1059"/>
      <c r="H64" s="1062" t="str">
        <f t="shared" si="13"/>
        <v>——</v>
      </c>
      <c r="I64" s="3359">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3" t="s">
        <v>2056</v>
      </c>
      <c r="B65" s="2127">
        <f>估价对象房地状况!C24</f>
        <v>0</v>
      </c>
      <c r="C65" s="2037"/>
      <c r="D65" s="1061">
        <f t="shared" si="12"/>
        <v>0</v>
      </c>
      <c r="E65" s="741"/>
      <c r="F65" s="1810"/>
      <c r="G65" s="1059"/>
      <c r="H65" s="1062" t="str">
        <f t="shared" si="13"/>
        <v>——</v>
      </c>
      <c r="I65" s="3359">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3" t="s">
        <v>2057</v>
      </c>
      <c r="B66" s="2129" t="s">
        <v>2058</v>
      </c>
      <c r="C66" s="2037"/>
      <c r="D66" s="1061">
        <f t="shared" si="12"/>
        <v>0</v>
      </c>
      <c r="E66" s="741"/>
      <c r="F66" s="1810"/>
      <c r="G66" s="1059"/>
      <c r="H66" s="1062" t="str">
        <f t="shared" si="13"/>
        <v>——</v>
      </c>
      <c r="I66" s="3359">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76.5">
      <c r="A67" s="2123" t="s">
        <v>2059</v>
      </c>
      <c r="B67" s="1322" t="str">
        <f>估价对象房地状况!C21</f>
        <v>估价对象周边有红星中学、瀛海镇第一中心小学、瀛海一幼幼儿园等教育机构，有肃宁正骨医院医疗设施，有北京农商银行等金融机构，公共配套设施状况一般</v>
      </c>
      <c r="C67" s="2037"/>
      <c r="D67" s="1061">
        <f t="shared" si="12"/>
        <v>0</v>
      </c>
      <c r="E67" s="741"/>
      <c r="F67" s="1810"/>
      <c r="G67" s="1059"/>
      <c r="H67" s="1062" t="str">
        <f t="shared" si="13"/>
        <v>——</v>
      </c>
      <c r="I67" s="3359">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3" t="s">
        <v>2060</v>
      </c>
      <c r="B68" s="1322" t="str">
        <f>估价对象房地状况!C22</f>
        <v>估价对象所在区域基础设施水平-六通</v>
      </c>
      <c r="C68" s="2037"/>
      <c r="D68" s="1061">
        <f t="shared" si="12"/>
        <v>0</v>
      </c>
      <c r="E68" s="741"/>
      <c r="F68" s="1810"/>
      <c r="G68" s="1059"/>
      <c r="H68" s="1062" t="str">
        <f t="shared" si="13"/>
        <v>——</v>
      </c>
      <c r="I68" s="3359">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51.75" thickBot="1">
      <c r="A69" s="2131" t="s">
        <v>2061</v>
      </c>
      <c r="B69" s="2133" t="str">
        <f>估价对象房地状况!C20</f>
        <v>周边3公里范围内有南海子公园、志远庄公园等自然景观，人文景观较少，综合评价环境状况一般</v>
      </c>
      <c r="C69" s="2037"/>
      <c r="D69" s="1061">
        <f t="shared" si="12"/>
        <v>0</v>
      </c>
      <c r="E69" s="742"/>
      <c r="F69" s="1810"/>
      <c r="G69" s="1059"/>
      <c r="H69" s="1062" t="str">
        <f t="shared" si="13"/>
        <v>——</v>
      </c>
      <c r="I69" s="3360">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9" t="s">
        <v>2065</v>
      </c>
      <c r="B70" s="2120">
        <f>1+E72</f>
        <v>1</v>
      </c>
      <c r="C70" s="737"/>
      <c r="D70" s="737"/>
      <c r="E70" s="738"/>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2044</v>
      </c>
      <c r="B71" s="1347"/>
      <c r="C71" s="1347" t="s">
        <v>2046</v>
      </c>
      <c r="D71" s="1347" t="s">
        <v>2047</v>
      </c>
      <c r="E71" s="739" t="s">
        <v>2048</v>
      </c>
      <c r="F71" s="2124" t="s">
        <v>2063</v>
      </c>
      <c r="G71" s="1347" t="s">
        <v>310</v>
      </c>
      <c r="H71" s="2125"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3" t="s">
        <v>2066</v>
      </c>
      <c r="B72" s="2126" t="str">
        <f>估价对象房地状况!C15</f>
        <v>估价对象周边有瀛海家园、永旭家园、兴海园、玉璟园等住宅小区，居住用地比例、居住小区规模和社区发展完善程度，综合评价居住社区成熟度一般</v>
      </c>
      <c r="C72" s="2037"/>
      <c r="D72" s="1061">
        <f t="shared" ref="D72:D80" si="17">SUMIF($J$71:$N$71,C72,J72:N72)</f>
        <v>0</v>
      </c>
      <c r="E72" s="740">
        <f>ROUND(SUM(D72:D80),4)</f>
        <v>0</v>
      </c>
      <c r="F72" s="1810" t="str">
        <f>IF(E2="住宅",SUMIF(L1:L12,G2,N1:N12),"——")</f>
        <v>——</v>
      </c>
      <c r="G72" s="1059"/>
      <c r="H72" s="1062" t="str">
        <f t="shared" ref="H72:H80" si="18">IFERROR(ROUNDDOWN($F$72*I72/2,4),"——")</f>
        <v>——</v>
      </c>
      <c r="I72" s="3359">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76.5">
      <c r="A73" s="2123" t="s">
        <v>2053</v>
      </c>
      <c r="B73" s="2127" t="str">
        <f>估价对象房地状况!C18</f>
        <v>估价对象邻近城市高速路-京台高速，附近有兴16路、兴38路、专83路等公交线路，周边道路状况、公共交通通达情况、停车便捷程度，综合评价交通便捷度较好</v>
      </c>
      <c r="C73" s="2037"/>
      <c r="D73" s="1061">
        <f t="shared" si="17"/>
        <v>0</v>
      </c>
      <c r="E73" s="743"/>
      <c r="F73" s="1810"/>
      <c r="G73" s="1059"/>
      <c r="H73" s="1062" t="str">
        <f t="shared" si="18"/>
        <v>——</v>
      </c>
      <c r="I73" s="3359">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0" customFormat="1" ht="36">
      <c r="A74" s="3361" t="s">
        <v>3273</v>
      </c>
      <c r="B74" s="2127">
        <f>估价对象房地状况!C19</f>
        <v>0</v>
      </c>
      <c r="C74" s="2037"/>
      <c r="D74" s="1061">
        <f t="shared" si="17"/>
        <v>0</v>
      </c>
      <c r="E74" s="743"/>
      <c r="F74" s="1810"/>
      <c r="G74" s="1059"/>
      <c r="H74" s="1062" t="str">
        <f t="shared" si="18"/>
        <v>——</v>
      </c>
      <c r="I74" s="3359">
        <v>0.1</v>
      </c>
      <c r="J74" s="1060">
        <f t="shared" si="19"/>
        <v>0</v>
      </c>
      <c r="K74" s="1060">
        <f t="shared" si="20"/>
        <v>0</v>
      </c>
      <c r="L74" s="1060">
        <v>0</v>
      </c>
      <c r="M74" s="1060">
        <f t="shared" si="21"/>
        <v>0</v>
      </c>
      <c r="N74" s="1060">
        <f t="shared" si="21"/>
        <v>0</v>
      </c>
      <c r="O74" s="1115"/>
      <c r="P74" s="1115"/>
      <c r="Q74" s="1115"/>
      <c r="AA74" s="2134"/>
      <c r="AB74" s="1116"/>
      <c r="AC74" s="1116"/>
      <c r="AD74" s="1116"/>
      <c r="AE74" s="1116"/>
      <c r="AF74" s="1116"/>
      <c r="AG74" s="1116"/>
      <c r="AH74" s="2134"/>
      <c r="AI74" s="2134"/>
      <c r="AJ74" s="2134"/>
      <c r="AK74" s="2134"/>
    </row>
    <row r="75" spans="1:37" ht="14.25">
      <c r="A75" s="2123" t="s">
        <v>2067</v>
      </c>
      <c r="B75" s="2127">
        <f>估价对象房地状况!C24</f>
        <v>0</v>
      </c>
      <c r="C75" s="2037"/>
      <c r="D75" s="1061">
        <f t="shared" si="17"/>
        <v>0</v>
      </c>
      <c r="E75" s="743"/>
      <c r="F75" s="1810"/>
      <c r="G75" s="1059"/>
      <c r="H75" s="1062" t="str">
        <f t="shared" si="18"/>
        <v>——</v>
      </c>
      <c r="I75" s="3359">
        <v>0.05</v>
      </c>
      <c r="J75" s="1060">
        <f t="shared" si="19"/>
        <v>0</v>
      </c>
      <c r="K75" s="1060">
        <f t="shared" si="20"/>
        <v>0</v>
      </c>
      <c r="L75" s="1060">
        <v>0</v>
      </c>
      <c r="M75" s="1060">
        <f t="shared" si="21"/>
        <v>0</v>
      </c>
      <c r="N75" s="1060">
        <f t="shared" si="21"/>
        <v>0</v>
      </c>
      <c r="O75" s="1115"/>
      <c r="P75" s="1115"/>
      <c r="Q75" s="1990"/>
      <c r="Z75" s="1991"/>
      <c r="AA75" s="2046"/>
      <c r="AG75" s="1117"/>
      <c r="AK75" s="2046"/>
    </row>
    <row r="76" spans="1:37" ht="76.5">
      <c r="A76" s="2123" t="s">
        <v>2059</v>
      </c>
      <c r="B76" s="1322" t="str">
        <f>估价对象房地状况!C21</f>
        <v>估价对象周边有红星中学、瀛海镇第一中心小学、瀛海一幼幼儿园等教育机构，有肃宁正骨医院医疗设施，有北京农商银行等金融机构，公共配套设施状况一般</v>
      </c>
      <c r="C76" s="2037"/>
      <c r="D76" s="1061">
        <f t="shared" si="17"/>
        <v>0</v>
      </c>
      <c r="E76" s="743"/>
      <c r="F76" s="1810"/>
      <c r="G76" s="1059"/>
      <c r="H76" s="1062" t="str">
        <f t="shared" si="18"/>
        <v>——</v>
      </c>
      <c r="I76" s="3359">
        <v>0.08</v>
      </c>
      <c r="J76" s="1060">
        <f t="shared" si="19"/>
        <v>0</v>
      </c>
      <c r="K76" s="1060">
        <f t="shared" si="20"/>
        <v>0</v>
      </c>
      <c r="L76" s="1060">
        <v>0</v>
      </c>
      <c r="M76" s="1060">
        <f t="shared" si="21"/>
        <v>0</v>
      </c>
      <c r="N76" s="1060">
        <f t="shared" si="21"/>
        <v>0</v>
      </c>
      <c r="O76" s="1115"/>
      <c r="P76" s="1115"/>
      <c r="Z76" s="1991"/>
      <c r="AA76" s="2046"/>
      <c r="AG76" s="1117"/>
      <c r="AK76" s="2046"/>
    </row>
    <row r="77" spans="1:37" ht="25.5">
      <c r="A77" s="2123" t="s">
        <v>2060</v>
      </c>
      <c r="B77" s="1322" t="str">
        <f>估价对象房地状况!C22</f>
        <v>估价对象所在区域基础设施水平-六通</v>
      </c>
      <c r="C77" s="2037"/>
      <c r="D77" s="1061">
        <f t="shared" si="17"/>
        <v>0</v>
      </c>
      <c r="E77" s="743"/>
      <c r="F77" s="1810"/>
      <c r="G77" s="1059"/>
      <c r="H77" s="1062" t="str">
        <f t="shared" si="18"/>
        <v>——</v>
      </c>
      <c r="I77" s="3359">
        <v>0.09</v>
      </c>
      <c r="J77" s="1060">
        <f t="shared" si="19"/>
        <v>0</v>
      </c>
      <c r="K77" s="1060">
        <f t="shared" si="20"/>
        <v>0</v>
      </c>
      <c r="L77" s="1060">
        <v>0</v>
      </c>
      <c r="M77" s="1060">
        <f t="shared" si="21"/>
        <v>0</v>
      </c>
      <c r="N77" s="1060">
        <f t="shared" si="21"/>
        <v>0</v>
      </c>
      <c r="O77" s="1115"/>
      <c r="P77" s="1115"/>
      <c r="Z77" s="1991"/>
      <c r="AA77" s="2046"/>
      <c r="AG77" s="1117"/>
      <c r="AK77" s="2046"/>
    </row>
    <row r="78" spans="1:37" ht="24">
      <c r="A78" s="2123" t="s">
        <v>2057</v>
      </c>
      <c r="B78" s="2129" t="s">
        <v>2058</v>
      </c>
      <c r="C78" s="2037"/>
      <c r="D78" s="1061">
        <f t="shared" si="17"/>
        <v>0</v>
      </c>
      <c r="E78" s="743"/>
      <c r="F78" s="1810"/>
      <c r="G78" s="1059"/>
      <c r="H78" s="1062" t="str">
        <f t="shared" si="18"/>
        <v>——</v>
      </c>
      <c r="I78" s="3359">
        <v>0.05</v>
      </c>
      <c r="J78" s="1060">
        <f t="shared" si="19"/>
        <v>0</v>
      </c>
      <c r="K78" s="1060">
        <f t="shared" si="20"/>
        <v>0</v>
      </c>
      <c r="L78" s="1060">
        <v>0</v>
      </c>
      <c r="M78" s="1060">
        <f t="shared" si="21"/>
        <v>0</v>
      </c>
      <c r="N78" s="1060">
        <f t="shared" si="21"/>
        <v>0</v>
      </c>
      <c r="O78" s="1990"/>
      <c r="P78" s="1990"/>
      <c r="Z78" s="1991"/>
      <c r="AA78" s="2046"/>
      <c r="AG78" s="1117"/>
      <c r="AK78" s="2046"/>
    </row>
    <row r="79" spans="1:37" ht="51">
      <c r="A79" s="2123" t="s">
        <v>2061</v>
      </c>
      <c r="B79" s="2126" t="str">
        <f>估价对象房地状况!C20</f>
        <v>周边3公里范围内有南海子公园、志远庄公园等自然景观，人文景观较少，综合评价环境状况一般</v>
      </c>
      <c r="C79" s="2037"/>
      <c r="D79" s="1061">
        <f t="shared" si="17"/>
        <v>0</v>
      </c>
      <c r="E79" s="743"/>
      <c r="F79" s="1810"/>
      <c r="G79" s="1059"/>
      <c r="H79" s="1062" t="str">
        <f t="shared" si="18"/>
        <v>——</v>
      </c>
      <c r="I79" s="3359">
        <v>0.12</v>
      </c>
      <c r="J79" s="1060">
        <f t="shared" si="19"/>
        <v>0</v>
      </c>
      <c r="K79" s="1060">
        <f t="shared" si="20"/>
        <v>0</v>
      </c>
      <c r="L79" s="1060">
        <v>0</v>
      </c>
      <c r="M79" s="1060">
        <f t="shared" si="21"/>
        <v>0</v>
      </c>
      <c r="N79" s="1060">
        <f t="shared" si="21"/>
        <v>0</v>
      </c>
      <c r="Z79" s="1991"/>
      <c r="AA79" s="2046"/>
      <c r="AG79" s="1117"/>
      <c r="AK79" s="2046"/>
    </row>
    <row r="80" spans="1:37" ht="24.75" thickBot="1">
      <c r="A80" s="2131" t="s">
        <v>2068</v>
      </c>
      <c r="B80" s="2135"/>
      <c r="C80" s="2037"/>
      <c r="D80" s="1061">
        <f t="shared" si="17"/>
        <v>0</v>
      </c>
      <c r="E80" s="744"/>
      <c r="F80" s="1810"/>
      <c r="G80" s="1059"/>
      <c r="H80" s="1062" t="str">
        <f t="shared" si="18"/>
        <v>——</v>
      </c>
      <c r="I80" s="3360">
        <v>0.05</v>
      </c>
      <c r="J80" s="1060">
        <f t="shared" si="19"/>
        <v>0</v>
      </c>
      <c r="K80" s="1060">
        <f t="shared" si="20"/>
        <v>0</v>
      </c>
      <c r="L80" s="1060">
        <v>0</v>
      </c>
      <c r="M80" s="1060">
        <f t="shared" si="21"/>
        <v>0</v>
      </c>
      <c r="N80" s="1060">
        <f t="shared" si="21"/>
        <v>0</v>
      </c>
      <c r="Z80" s="1991"/>
      <c r="AA80" s="2046"/>
      <c r="AG80" s="1117"/>
      <c r="AK80" s="2046"/>
    </row>
    <row r="81" spans="1:37" ht="15">
      <c r="A81" s="2119" t="s">
        <v>2069</v>
      </c>
      <c r="B81" s="2120">
        <f>1+E83</f>
        <v>1</v>
      </c>
      <c r="C81" s="737"/>
      <c r="D81" s="737"/>
      <c r="E81" s="738"/>
      <c r="F81" s="2122"/>
      <c r="G81" s="3"/>
      <c r="H81" s="3"/>
      <c r="I81" s="3"/>
      <c r="J81" s="4"/>
      <c r="K81" s="4"/>
      <c r="L81" s="4"/>
      <c r="M81" s="4"/>
      <c r="N81" s="4"/>
      <c r="Z81" s="1991"/>
      <c r="AA81" s="2046"/>
      <c r="AG81" s="1117"/>
      <c r="AK81" s="2046"/>
    </row>
    <row r="82" spans="1:37" ht="24.75">
      <c r="A82" s="2123" t="s">
        <v>2044</v>
      </c>
      <c r="B82" s="1347"/>
      <c r="C82" s="1347" t="s">
        <v>2046</v>
      </c>
      <c r="D82" s="1347" t="s">
        <v>2047</v>
      </c>
      <c r="E82" s="739" t="s">
        <v>2048</v>
      </c>
      <c r="F82" s="2124" t="s">
        <v>2063</v>
      </c>
      <c r="G82" s="1347" t="s">
        <v>310</v>
      </c>
      <c r="H82" s="2125" t="s">
        <v>2050</v>
      </c>
      <c r="I82" s="1347" t="s">
        <v>2051</v>
      </c>
      <c r="J82" s="549" t="s">
        <v>1721</v>
      </c>
      <c r="K82" s="549" t="s">
        <v>1722</v>
      </c>
      <c r="L82" s="549" t="s">
        <v>1723</v>
      </c>
      <c r="M82" s="549" t="s">
        <v>1724</v>
      </c>
      <c r="N82" s="549" t="s">
        <v>1725</v>
      </c>
      <c r="Z82" s="1991"/>
      <c r="AA82" s="2046"/>
      <c r="AG82" s="1117"/>
      <c r="AK82" s="2046"/>
    </row>
    <row r="83" spans="1:37" ht="38.25">
      <c r="A83" s="2123" t="s">
        <v>2070</v>
      </c>
      <c r="B83" s="2127" t="str">
        <f>估价对象房地状况!G15</f>
        <v>估价对象位于XX开发区，园区建设成熟度XX，产业集聚程度XX</v>
      </c>
      <c r="C83" s="2037"/>
      <c r="D83" s="1061">
        <f t="shared" ref="D83:D90" si="22">SUMIF($J$82:$N$82,C83,J83:N83)</f>
        <v>0</v>
      </c>
      <c r="E83" s="740">
        <f>ROUND(SUM(D83:D90),4)</f>
        <v>0</v>
      </c>
      <c r="F83" s="1810" t="str">
        <f>IF(E2="工业",SUMIF(L1:L12,G2,N1:N12),"——")</f>
        <v>——</v>
      </c>
      <c r="G83" s="1059"/>
      <c r="H83" s="1062" t="str">
        <f t="shared" ref="H83:H90" si="23">IFERROR(ROUNDDOWN($F$83*I83/2,4),"——")</f>
        <v>——</v>
      </c>
      <c r="I83" s="3359">
        <v>0.26</v>
      </c>
      <c r="J83" s="1060">
        <f t="shared" ref="J83:J90" si="24">K83+$G83</f>
        <v>0</v>
      </c>
      <c r="K83" s="1060">
        <f t="shared" ref="K83:K90" si="25">$L83+$G83</f>
        <v>0</v>
      </c>
      <c r="L83" s="1060">
        <v>0</v>
      </c>
      <c r="M83" s="1060">
        <f t="shared" ref="M83:N90" si="26">L83-$G83</f>
        <v>0</v>
      </c>
      <c r="N83" s="1060">
        <f t="shared" si="26"/>
        <v>0</v>
      </c>
      <c r="Z83" s="1991"/>
      <c r="AA83" s="2046"/>
      <c r="AG83" s="1117"/>
      <c r="AK83" s="2046"/>
    </row>
    <row r="84" spans="1:37" ht="38.25">
      <c r="A84" s="2123" t="s">
        <v>2053</v>
      </c>
      <c r="B84" s="2127" t="str">
        <f>估价对象房地状况!G16</f>
        <v>估价对象周边道路状况、公共交通通达情况、停车便捷程度，综合评价交通便捷度较好</v>
      </c>
      <c r="C84" s="2037"/>
      <c r="D84" s="1061">
        <f t="shared" si="22"/>
        <v>0</v>
      </c>
      <c r="E84" s="743"/>
      <c r="F84" s="1810"/>
      <c r="G84" s="1059"/>
      <c r="H84" s="1062" t="str">
        <f t="shared" si="23"/>
        <v>——</v>
      </c>
      <c r="I84" s="3359">
        <v>0.3</v>
      </c>
      <c r="J84" s="1060">
        <f t="shared" si="24"/>
        <v>0</v>
      </c>
      <c r="K84" s="1060">
        <f t="shared" si="25"/>
        <v>0</v>
      </c>
      <c r="L84" s="1060">
        <v>0</v>
      </c>
      <c r="M84" s="1060">
        <f t="shared" si="26"/>
        <v>0</v>
      </c>
      <c r="N84" s="1060">
        <f t="shared" si="26"/>
        <v>0</v>
      </c>
      <c r="Z84" s="1991"/>
      <c r="AA84" s="2046"/>
      <c r="AG84" s="1117"/>
      <c r="AK84" s="2046"/>
    </row>
    <row r="85" spans="1:37" ht="36">
      <c r="A85" s="3361" t="s">
        <v>3274</v>
      </c>
      <c r="B85" s="2127">
        <f>估价对象房地状况!G17</f>
        <v>0</v>
      </c>
      <c r="C85" s="2037"/>
      <c r="D85" s="1061">
        <f t="shared" si="22"/>
        <v>0</v>
      </c>
      <c r="E85" s="743"/>
      <c r="F85" s="1810"/>
      <c r="G85" s="1059"/>
      <c r="H85" s="1062" t="str">
        <f t="shared" si="23"/>
        <v>——</v>
      </c>
      <c r="I85" s="3359">
        <v>0.1</v>
      </c>
      <c r="J85" s="1060">
        <f t="shared" si="24"/>
        <v>0</v>
      </c>
      <c r="K85" s="1060">
        <f t="shared" si="25"/>
        <v>0</v>
      </c>
      <c r="L85" s="1060">
        <v>0</v>
      </c>
      <c r="M85" s="1060">
        <f t="shared" si="26"/>
        <v>0</v>
      </c>
      <c r="N85" s="1060">
        <f t="shared" si="26"/>
        <v>0</v>
      </c>
      <c r="Z85" s="1991"/>
      <c r="AA85" s="2046"/>
      <c r="AG85" s="1117"/>
      <c r="AK85" s="2046"/>
    </row>
    <row r="86" spans="1:37" ht="14.25">
      <c r="A86" s="2123" t="s">
        <v>2067</v>
      </c>
      <c r="B86" s="2127">
        <f>估价对象房地状况!G22</f>
        <v>0</v>
      </c>
      <c r="C86" s="2037"/>
      <c r="D86" s="1061">
        <f t="shared" si="22"/>
        <v>0</v>
      </c>
      <c r="E86" s="743"/>
      <c r="F86" s="1810"/>
      <c r="G86" s="1059"/>
      <c r="H86" s="1062" t="str">
        <f t="shared" si="23"/>
        <v>——</v>
      </c>
      <c r="I86" s="3359">
        <v>0.05</v>
      </c>
      <c r="J86" s="1060">
        <f t="shared" si="24"/>
        <v>0</v>
      </c>
      <c r="K86" s="1060">
        <f t="shared" si="25"/>
        <v>0</v>
      </c>
      <c r="L86" s="1060">
        <v>0</v>
      </c>
      <c r="M86" s="1060">
        <f t="shared" si="26"/>
        <v>0</v>
      </c>
      <c r="N86" s="1060">
        <f t="shared" si="26"/>
        <v>0</v>
      </c>
      <c r="Z86" s="1991"/>
      <c r="AA86" s="2046"/>
      <c r="AG86" s="1117"/>
      <c r="AK86" s="2046"/>
    </row>
    <row r="87" spans="1:37" ht="25.5">
      <c r="A87" s="2123" t="s">
        <v>2059</v>
      </c>
      <c r="B87" s="1322" t="str">
        <f>估价对象房地状况!G19</f>
        <v>估价对象所在区域公共配套设施齐备情况</v>
      </c>
      <c r="C87" s="2037"/>
      <c r="D87" s="1061">
        <f t="shared" si="22"/>
        <v>0</v>
      </c>
      <c r="E87" s="743"/>
      <c r="F87" s="1810"/>
      <c r="G87" s="1059"/>
      <c r="H87" s="1062" t="str">
        <f t="shared" si="23"/>
        <v>——</v>
      </c>
      <c r="I87" s="3359">
        <v>0.06</v>
      </c>
      <c r="J87" s="1060">
        <f t="shared" si="24"/>
        <v>0</v>
      </c>
      <c r="K87" s="1060">
        <f t="shared" si="25"/>
        <v>0</v>
      </c>
      <c r="L87" s="1060">
        <v>0</v>
      </c>
      <c r="M87" s="1060">
        <f t="shared" si="26"/>
        <v>0</v>
      </c>
      <c r="N87" s="1060">
        <f t="shared" si="26"/>
        <v>0</v>
      </c>
    </row>
    <row r="88" spans="1:37" ht="25.5">
      <c r="A88" s="2123" t="s">
        <v>2060</v>
      </c>
      <c r="B88" s="1322" t="str">
        <f>估价对象房地状况!G20</f>
        <v>估价对象所在区域基础设施水平</v>
      </c>
      <c r="C88" s="2037"/>
      <c r="D88" s="1061">
        <f t="shared" si="22"/>
        <v>0</v>
      </c>
      <c r="E88" s="743"/>
      <c r="F88" s="1810"/>
      <c r="G88" s="1059"/>
      <c r="H88" s="1062" t="str">
        <f t="shared" si="23"/>
        <v>——</v>
      </c>
      <c r="I88" s="3359">
        <v>0.12</v>
      </c>
      <c r="J88" s="1060">
        <f t="shared" si="24"/>
        <v>0</v>
      </c>
      <c r="K88" s="1060">
        <f t="shared" si="25"/>
        <v>0</v>
      </c>
      <c r="L88" s="1060">
        <v>0</v>
      </c>
      <c r="M88" s="1060">
        <f t="shared" si="26"/>
        <v>0</v>
      </c>
      <c r="N88" s="1060">
        <f t="shared" si="26"/>
        <v>0</v>
      </c>
    </row>
    <row r="89" spans="1:37" ht="24">
      <c r="A89" s="2123" t="s">
        <v>2057</v>
      </c>
      <c r="B89" s="2129" t="s">
        <v>2071</v>
      </c>
      <c r="C89" s="2037"/>
      <c r="D89" s="1061">
        <f t="shared" si="22"/>
        <v>0</v>
      </c>
      <c r="E89" s="743"/>
      <c r="F89" s="1810"/>
      <c r="G89" s="1059"/>
      <c r="H89" s="1062" t="str">
        <f t="shared" si="23"/>
        <v>——</v>
      </c>
      <c r="I89" s="3359">
        <v>0.06</v>
      </c>
      <c r="J89" s="1060">
        <f t="shared" si="24"/>
        <v>0</v>
      </c>
      <c r="K89" s="1060">
        <f t="shared" si="25"/>
        <v>0</v>
      </c>
      <c r="L89" s="1060">
        <v>0</v>
      </c>
      <c r="M89" s="1060">
        <f t="shared" si="26"/>
        <v>0</v>
      </c>
      <c r="N89" s="1060">
        <f t="shared" si="26"/>
        <v>0</v>
      </c>
    </row>
    <row r="90" spans="1:37" ht="39" thickBot="1">
      <c r="A90" s="2131" t="s">
        <v>2072</v>
      </c>
      <c r="B90" s="2136" t="str">
        <f>估价对象房地状况!G18</f>
        <v>该园区内是否有污染型企业，绿化情况，卫生条件，整体环境状况判断</v>
      </c>
      <c r="C90" s="2037"/>
      <c r="D90" s="1061">
        <f t="shared" si="22"/>
        <v>0</v>
      </c>
      <c r="E90" s="744"/>
      <c r="F90" s="1810"/>
      <c r="G90" s="1059"/>
      <c r="H90" s="1062" t="str">
        <f t="shared" si="23"/>
        <v>——</v>
      </c>
      <c r="I90" s="3360">
        <v>0.05</v>
      </c>
      <c r="J90" s="1060">
        <f t="shared" si="24"/>
        <v>0</v>
      </c>
      <c r="K90" s="1060">
        <f t="shared" si="25"/>
        <v>0</v>
      </c>
      <c r="L90" s="1060">
        <v>0</v>
      </c>
      <c r="M90" s="1060">
        <f t="shared" si="26"/>
        <v>0</v>
      </c>
      <c r="N90" s="1060">
        <f t="shared" si="26"/>
        <v>0</v>
      </c>
    </row>
    <row r="91" spans="1:37" ht="15">
      <c r="A91" s="3369" t="s">
        <v>2612</v>
      </c>
      <c r="B91" s="3370">
        <f>1+E93</f>
        <v>1</v>
      </c>
      <c r="C91" s="3363"/>
      <c r="D91" s="3364"/>
      <c r="E91" s="1810"/>
      <c r="F91" s="1810"/>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302"/>
      <c r="C93" s="2037"/>
      <c r="D93" s="3358">
        <f>SUMIF($J$92:$N$92,C93,J93:N93)</f>
        <v>0</v>
      </c>
      <c r="E93" s="3374">
        <f>ROUND(SUM(D93:D101),4)</f>
        <v>0</v>
      </c>
      <c r="F93" s="1810"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76.5">
      <c r="A94" s="3371" t="s">
        <v>3277</v>
      </c>
      <c r="B94" s="3362" t="str">
        <f>估价对象房地状况!C18</f>
        <v>估价对象邻近城市高速路-京台高速，附近有兴16路、兴38路、专83路等公交线路，周边道路状况、公共交通通达情况、停车便捷程度，综合评价交通便捷度较好</v>
      </c>
      <c r="C94" s="2037"/>
      <c r="D94" s="3358">
        <f t="shared" ref="D94:D101" si="30">SUMIF($J$60:$N$60,C94,J94:N94)</f>
        <v>0</v>
      </c>
      <c r="E94" s="3375"/>
      <c r="F94" s="1810"/>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7"/>
      <c r="D95" s="3358">
        <f t="shared" si="30"/>
        <v>0</v>
      </c>
      <c r="E95" s="3375"/>
      <c r="F95" s="1810"/>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3278</v>
      </c>
      <c r="B96" s="3377" t="s">
        <v>3289</v>
      </c>
      <c r="C96" s="2037"/>
      <c r="D96" s="3358">
        <f t="shared" si="30"/>
        <v>0</v>
      </c>
      <c r="E96" s="3375"/>
      <c r="F96" s="1810"/>
      <c r="G96" s="3365"/>
      <c r="H96" s="3413" t="str">
        <f t="shared" si="31"/>
        <v>——</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7"/>
      <c r="D97" s="3358">
        <f t="shared" si="30"/>
        <v>0</v>
      </c>
      <c r="E97" s="3375"/>
      <c r="F97" s="1810"/>
      <c r="G97" s="3365"/>
      <c r="H97" s="3413" t="str">
        <f t="shared" si="31"/>
        <v>——</v>
      </c>
      <c r="I97" s="3359">
        <v>0.05</v>
      </c>
      <c r="J97" s="3337">
        <f t="shared" si="27"/>
        <v>0</v>
      </c>
      <c r="K97" s="3337">
        <f t="shared" si="28"/>
        <v>0</v>
      </c>
      <c r="L97" s="3337">
        <v>0</v>
      </c>
      <c r="M97" s="3337">
        <f t="shared" si="29"/>
        <v>0</v>
      </c>
      <c r="N97" s="3337">
        <f t="shared" si="29"/>
        <v>0</v>
      </c>
    </row>
    <row r="98" spans="1:14" ht="24">
      <c r="A98" s="3371" t="s">
        <v>3280</v>
      </c>
      <c r="B98" s="3378" t="s">
        <v>3290</v>
      </c>
      <c r="C98" s="2037"/>
      <c r="D98" s="3358">
        <f t="shared" si="30"/>
        <v>0</v>
      </c>
      <c r="E98" s="3375"/>
      <c r="F98" s="1810"/>
      <c r="G98" s="3365"/>
      <c r="H98" s="3413" t="str">
        <f t="shared" si="31"/>
        <v>——</v>
      </c>
      <c r="I98" s="3359">
        <v>0.06</v>
      </c>
      <c r="J98" s="3337">
        <f t="shared" si="27"/>
        <v>0</v>
      </c>
      <c r="K98" s="3337">
        <f t="shared" si="28"/>
        <v>0</v>
      </c>
      <c r="L98" s="3337">
        <v>0</v>
      </c>
      <c r="M98" s="3337">
        <f t="shared" si="29"/>
        <v>0</v>
      </c>
      <c r="N98" s="3337">
        <f t="shared" si="29"/>
        <v>0</v>
      </c>
    </row>
    <row r="99" spans="1:14" ht="76.5">
      <c r="A99" s="3371" t="s">
        <v>3281</v>
      </c>
      <c r="B99" s="3362" t="str">
        <f>估价对象房地状况!C21</f>
        <v>估价对象周边有红星中学、瀛海镇第一中心小学、瀛海一幼幼儿园等教育机构，有肃宁正骨医院医疗设施，有北京农商银行等金融机构，公共配套设施状况一般</v>
      </c>
      <c r="C99" s="2037"/>
      <c r="D99" s="3358">
        <f t="shared" si="30"/>
        <v>0</v>
      </c>
      <c r="E99" s="3375"/>
      <c r="F99" s="1810"/>
      <c r="G99" s="3365"/>
      <c r="H99" s="3413" t="str">
        <f t="shared" si="31"/>
        <v>——</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估价对象所在区域基础设施水平-六通</v>
      </c>
      <c r="C100" s="2037"/>
      <c r="D100" s="3358">
        <f t="shared" si="30"/>
        <v>0</v>
      </c>
      <c r="E100" s="3375"/>
      <c r="F100" s="1810"/>
      <c r="G100" s="3365"/>
      <c r="H100" s="3413" t="str">
        <f t="shared" si="31"/>
        <v>——</v>
      </c>
      <c r="I100" s="3359">
        <v>0.09</v>
      </c>
      <c r="J100" s="3337">
        <f t="shared" si="27"/>
        <v>0</v>
      </c>
      <c r="K100" s="3337">
        <f t="shared" si="28"/>
        <v>0</v>
      </c>
      <c r="L100" s="3337">
        <v>0</v>
      </c>
      <c r="M100" s="3337">
        <f t="shared" si="29"/>
        <v>0</v>
      </c>
      <c r="N100" s="3337">
        <f t="shared" si="29"/>
        <v>0</v>
      </c>
    </row>
    <row r="101" spans="1:14" ht="51.75" thickBot="1">
      <c r="A101" s="3372" t="s">
        <v>3283</v>
      </c>
      <c r="B101" s="3379" t="str">
        <f>估价对象房地状况!C20</f>
        <v>周边3公里范围内有南海子公园、志远庄公园等自然景观，人文景观较少，综合评价环境状况一般</v>
      </c>
      <c r="C101" s="2037"/>
      <c r="D101" s="3358">
        <f t="shared" si="30"/>
        <v>0</v>
      </c>
      <c r="E101" s="3376"/>
      <c r="F101" s="1810"/>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35" t="s">
        <v>3298</v>
      </c>
      <c r="B103" s="3835"/>
      <c r="C103" s="3835"/>
      <c r="D103" s="3835"/>
      <c r="E103" s="3835"/>
      <c r="F103" s="3835"/>
      <c r="G103" s="3835"/>
      <c r="H103" s="3835"/>
      <c r="I103" s="3835"/>
      <c r="J103" s="3835"/>
      <c r="K103" s="3382"/>
      <c r="L103" s="3382"/>
      <c r="M103" s="3382"/>
      <c r="N103" s="3382"/>
    </row>
    <row r="104" spans="1:14">
      <c r="A104" s="3836" t="s">
        <v>3299</v>
      </c>
      <c r="B104" s="3836" t="s">
        <v>3300</v>
      </c>
      <c r="C104" s="3383" t="s">
        <v>3301</v>
      </c>
      <c r="D104" s="3384"/>
      <c r="E104" s="3384"/>
      <c r="F104" s="3384"/>
      <c r="G104" s="3384"/>
      <c r="H104" s="3384"/>
      <c r="I104" s="3384"/>
      <c r="J104" s="3385"/>
      <c r="K104" s="3386"/>
      <c r="L104" s="3386"/>
      <c r="M104" s="3386"/>
      <c r="N104" s="3386"/>
    </row>
    <row r="105" spans="1:14">
      <c r="A105" s="3836"/>
      <c r="B105" s="3836"/>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22"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23"/>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23"/>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23"/>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23"/>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23"/>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24"/>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25" t="s">
        <v>3315</v>
      </c>
      <c r="B113" s="3825"/>
      <c r="C113" s="3825"/>
      <c r="D113" s="3825"/>
      <c r="E113" s="3825"/>
      <c r="F113" s="3825"/>
      <c r="G113" s="3825"/>
      <c r="H113" s="3825"/>
      <c r="I113" s="3825"/>
      <c r="J113" s="3825"/>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15.75" thickBot="1">
      <c r="A116" s="3391" t="s">
        <v>3316</v>
      </c>
      <c r="B116" s="3408">
        <f>G3</f>
        <v>0</v>
      </c>
      <c r="C116" s="3392" t="s">
        <v>3317</v>
      </c>
      <c r="D116" s="3393">
        <f>SUMPRODUCT((A118:A122=F116)*(B117:M117=H116)*B118:M122)</f>
        <v>0</v>
      </c>
      <c r="E116" s="1993" t="s">
        <v>3318</v>
      </c>
      <c r="F116" s="3394">
        <f>E2</f>
        <v>0</v>
      </c>
      <c r="G116" s="1993" t="s">
        <v>3319</v>
      </c>
      <c r="H116" s="3394">
        <f>G2</f>
        <v>0</v>
      </c>
      <c r="I116" s="1993"/>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5">I118</f>
        <v>0.84860000000000002</v>
      </c>
      <c r="K118" s="3380">
        <f t="shared" si="35"/>
        <v>0.84860000000000002</v>
      </c>
      <c r="L118" s="3380">
        <f t="shared" si="35"/>
        <v>0.84860000000000002</v>
      </c>
      <c r="M118" s="3403">
        <f t="shared" si="35"/>
        <v>0.84860000000000002</v>
      </c>
      <c r="N118" s="3390"/>
    </row>
    <row r="119" spans="1:14">
      <c r="A119" s="3402" t="s">
        <v>3333</v>
      </c>
      <c r="B119" s="3380">
        <f>ROUND(0.993-0.0112*B116,4)</f>
        <v>0.99299999999999999</v>
      </c>
      <c r="C119" s="3380">
        <f>B119</f>
        <v>0.99299999999999999</v>
      </c>
      <c r="D119" s="3380">
        <f>ROUND(0.9415-0.0142*B116,4)</f>
        <v>0.9415</v>
      </c>
      <c r="E119" s="3380">
        <f t="shared" ref="E119:H120" si="36">D119</f>
        <v>0.9415</v>
      </c>
      <c r="F119" s="3380">
        <f t="shared" si="36"/>
        <v>0.9415</v>
      </c>
      <c r="G119" s="3380">
        <f t="shared" si="36"/>
        <v>0.9415</v>
      </c>
      <c r="H119" s="3380">
        <f t="shared" si="36"/>
        <v>0.9415</v>
      </c>
      <c r="I119" s="3380">
        <f>ROUND(0.838-0.0182*B116,4)</f>
        <v>0.83799999999999997</v>
      </c>
      <c r="J119" s="3380">
        <f t="shared" si="35"/>
        <v>0.83799999999999997</v>
      </c>
      <c r="K119" s="3380">
        <f t="shared" si="35"/>
        <v>0.83799999999999997</v>
      </c>
      <c r="L119" s="3380">
        <f t="shared" si="35"/>
        <v>0.83799999999999997</v>
      </c>
      <c r="M119" s="3403">
        <f t="shared" si="35"/>
        <v>0.83799999999999997</v>
      </c>
      <c r="N119" s="3390"/>
    </row>
    <row r="120" spans="1:14">
      <c r="A120" s="3402" t="s">
        <v>3334</v>
      </c>
      <c r="B120" s="3380">
        <f>ROUND(0.9448-0.0115*B116,4)</f>
        <v>0.94479999999999997</v>
      </c>
      <c r="C120" s="3380">
        <f>B120</f>
        <v>0.94479999999999997</v>
      </c>
      <c r="D120" s="3380">
        <f>ROUND(0.937-0.0145*B116,4)</f>
        <v>0.93700000000000006</v>
      </c>
      <c r="E120" s="3380">
        <f t="shared" si="36"/>
        <v>0.93700000000000006</v>
      </c>
      <c r="F120" s="3380">
        <f t="shared" si="36"/>
        <v>0.93700000000000006</v>
      </c>
      <c r="G120" s="3380">
        <f t="shared" si="36"/>
        <v>0.93700000000000006</v>
      </c>
      <c r="H120" s="3380">
        <f t="shared" si="36"/>
        <v>0.93700000000000006</v>
      </c>
      <c r="I120" s="3380">
        <f>ROUND(0.7965-0.0185*B116,4)</f>
        <v>0.79649999999999999</v>
      </c>
      <c r="J120" s="3380">
        <f t="shared" si="35"/>
        <v>0.79649999999999999</v>
      </c>
      <c r="K120" s="3380">
        <f t="shared" si="35"/>
        <v>0.79649999999999999</v>
      </c>
      <c r="L120" s="3380">
        <f t="shared" si="35"/>
        <v>0.79649999999999999</v>
      </c>
      <c r="M120" s="3403">
        <f t="shared" si="35"/>
        <v>0.79649999999999999</v>
      </c>
      <c r="N120" s="3390"/>
    </row>
    <row r="121" spans="1:14" ht="13.5" thickBot="1">
      <c r="A121" s="3404" t="s">
        <v>3335</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5"/>
        <v>0.59050000000000002</v>
      </c>
      <c r="K121" s="3405">
        <f t="shared" si="35"/>
        <v>0.59050000000000002</v>
      </c>
      <c r="L121" s="3405">
        <f t="shared" si="35"/>
        <v>0.59050000000000002</v>
      </c>
      <c r="M121" s="3406">
        <f t="shared" si="35"/>
        <v>0.59050000000000002</v>
      </c>
      <c r="N121" s="3390"/>
    </row>
    <row r="122" spans="1:14">
      <c r="A122" s="3407" t="s">
        <v>2612</v>
      </c>
      <c r="B122" s="3380">
        <f>ROUND(0.9404-0.0106*B116,4)</f>
        <v>0.94040000000000001</v>
      </c>
      <c r="C122" s="3380">
        <f>B122</f>
        <v>0.94040000000000001</v>
      </c>
      <c r="D122" s="3380">
        <f>ROUND(0.8955-0.0135*B116,4)</f>
        <v>0.89549999999999996</v>
      </c>
      <c r="E122" s="3380">
        <f t="shared" ref="E122:H122" si="37">D122</f>
        <v>0.89549999999999996</v>
      </c>
      <c r="F122" s="3380">
        <f t="shared" si="37"/>
        <v>0.89549999999999996</v>
      </c>
      <c r="G122" s="3380">
        <f t="shared" si="37"/>
        <v>0.89549999999999996</v>
      </c>
      <c r="H122" s="3380">
        <f t="shared" si="37"/>
        <v>0.89549999999999996</v>
      </c>
      <c r="I122" s="3380">
        <f>ROUND(0.7632-0.0166*B116,4)</f>
        <v>0.76319999999999999</v>
      </c>
      <c r="J122" s="3380">
        <f t="shared" si="35"/>
        <v>0.76319999999999999</v>
      </c>
      <c r="K122" s="3380">
        <f t="shared" si="35"/>
        <v>0.76319999999999999</v>
      </c>
      <c r="L122" s="3380">
        <f t="shared" si="35"/>
        <v>0.76319999999999999</v>
      </c>
      <c r="M122" s="3403">
        <f t="shared" si="35"/>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125" defaultRowHeight="19.5" customHeight="1"/>
  <cols>
    <col min="1" max="13" width="15.125" style="3066" customWidth="1"/>
    <col min="14" max="14" width="10" style="3066" customWidth="1"/>
    <col min="15" max="16" width="8.125" style="3066"/>
    <col min="17" max="17" width="34.125" style="3066" customWidth="1"/>
    <col min="18" max="18" width="8.125" style="3066" customWidth="1"/>
    <col min="19" max="19" width="8.125" style="3066"/>
    <col min="20" max="20" width="11.625" style="3066" customWidth="1"/>
    <col min="21" max="16384" width="8.1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48" t="s">
        <v>2607</v>
      </c>
      <c r="B20" s="3841" t="s">
        <v>2628</v>
      </c>
      <c r="C20" s="3095" t="s">
        <v>2439</v>
      </c>
      <c r="D20" s="3096"/>
      <c r="E20" s="3097">
        <v>1</v>
      </c>
      <c r="F20" s="3098" t="s">
        <v>2440</v>
      </c>
      <c r="G20" s="3098"/>
    </row>
    <row r="21" spans="1:13" ht="19.5" customHeight="1">
      <c r="A21" s="3849"/>
      <c r="B21" s="3842"/>
      <c r="C21" s="3099" t="s">
        <v>2441</v>
      </c>
      <c r="D21" s="3100"/>
      <c r="E21" s="3101">
        <v>1</v>
      </c>
      <c r="F21" s="3098" t="s">
        <v>2442</v>
      </c>
      <c r="G21" s="3098"/>
    </row>
    <row r="22" spans="1:13" ht="19.5" customHeight="1">
      <c r="A22" s="3849"/>
      <c r="B22" s="3842"/>
      <c r="C22" s="3099" t="s">
        <v>2443</v>
      </c>
      <c r="D22" s="3100"/>
      <c r="E22" s="3101">
        <v>0.9</v>
      </c>
      <c r="F22" s="3098" t="s">
        <v>2444</v>
      </c>
      <c r="G22" s="3098"/>
    </row>
    <row r="23" spans="1:13" ht="19.5" customHeight="1">
      <c r="A23" s="3849"/>
      <c r="B23" s="3842"/>
      <c r="C23" s="3099" t="s">
        <v>2445</v>
      </c>
      <c r="D23" s="3100"/>
      <c r="E23" s="3101">
        <v>0.9</v>
      </c>
      <c r="F23" s="3098" t="s">
        <v>2446</v>
      </c>
      <c r="G23" s="3098"/>
    </row>
    <row r="24" spans="1:13" ht="19.5" customHeight="1">
      <c r="A24" s="3849"/>
      <c r="B24" s="3842"/>
      <c r="C24" s="3099" t="s">
        <v>2447</v>
      </c>
      <c r="D24" s="3100"/>
      <c r="E24" s="3101">
        <v>0.8</v>
      </c>
      <c r="F24" s="3098" t="s">
        <v>2448</v>
      </c>
      <c r="G24" s="3098"/>
    </row>
    <row r="25" spans="1:13" ht="19.5" customHeight="1" thickBot="1">
      <c r="A25" s="3850"/>
      <c r="B25" s="3843"/>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44" t="s">
        <v>2631</v>
      </c>
      <c r="B27" s="3841" t="s">
        <v>2612</v>
      </c>
      <c r="C27" s="3095" t="s">
        <v>2452</v>
      </c>
      <c r="D27" s="3096"/>
      <c r="E27" s="3097">
        <v>1</v>
      </c>
      <c r="F27" s="3098" t="s">
        <v>2453</v>
      </c>
      <c r="G27" s="3098"/>
    </row>
    <row r="28" spans="1:13" ht="19.5" customHeight="1">
      <c r="A28" s="3845"/>
      <c r="B28" s="3842"/>
      <c r="C28" s="3099" t="s">
        <v>2454</v>
      </c>
      <c r="D28" s="3100"/>
      <c r="E28" s="3101">
        <v>1</v>
      </c>
      <c r="F28" s="3098" t="s">
        <v>2455</v>
      </c>
      <c r="G28" s="3098"/>
    </row>
    <row r="29" spans="1:13" ht="19.5" customHeight="1">
      <c r="A29" s="3845"/>
      <c r="B29" s="3842"/>
      <c r="C29" s="3099" t="s">
        <v>2456</v>
      </c>
      <c r="D29" s="3100"/>
      <c r="E29" s="3101">
        <v>0.8</v>
      </c>
      <c r="F29" s="3098" t="s">
        <v>2457</v>
      </c>
      <c r="G29" s="3098"/>
    </row>
    <row r="30" spans="1:13" ht="19.5" customHeight="1">
      <c r="A30" s="3845"/>
      <c r="B30" s="3842"/>
      <c r="C30" s="3099" t="s">
        <v>2458</v>
      </c>
      <c r="D30" s="3100"/>
      <c r="E30" s="3101">
        <v>0.8</v>
      </c>
      <c r="F30" s="3098" t="s">
        <v>2459</v>
      </c>
      <c r="G30" s="3098"/>
    </row>
    <row r="31" spans="1:13" ht="19.5" customHeight="1">
      <c r="A31" s="3845"/>
      <c r="B31" s="3842"/>
      <c r="C31" s="3099" t="s">
        <v>2460</v>
      </c>
      <c r="D31" s="3100"/>
      <c r="E31" s="3101">
        <v>0.8</v>
      </c>
      <c r="F31" s="3098" t="s">
        <v>2461</v>
      </c>
      <c r="G31" s="3098"/>
    </row>
    <row r="32" spans="1:13" ht="19.5" customHeight="1">
      <c r="A32" s="3845"/>
      <c r="B32" s="3842"/>
      <c r="C32" s="3099" t="s">
        <v>2462</v>
      </c>
      <c r="D32" s="3100"/>
      <c r="E32" s="3101">
        <v>0.7</v>
      </c>
      <c r="F32" s="3098" t="s">
        <v>2463</v>
      </c>
      <c r="G32" s="3098"/>
    </row>
    <row r="33" spans="1:7" ht="19.5" customHeight="1">
      <c r="A33" s="3845"/>
      <c r="B33" s="3842"/>
      <c r="C33" s="3099" t="s">
        <v>2464</v>
      </c>
      <c r="D33" s="3100"/>
      <c r="E33" s="3101">
        <v>0.8</v>
      </c>
      <c r="F33" s="3098" t="s">
        <v>2465</v>
      </c>
      <c r="G33" s="3098"/>
    </row>
    <row r="34" spans="1:7" ht="19.5" customHeight="1">
      <c r="A34" s="3845"/>
      <c r="B34" s="3842"/>
      <c r="C34" s="3099" t="s">
        <v>2466</v>
      </c>
      <c r="D34" s="3100"/>
      <c r="E34" s="3101">
        <v>0.6</v>
      </c>
      <c r="F34" s="3098" t="s">
        <v>2467</v>
      </c>
      <c r="G34" s="3098"/>
    </row>
    <row r="35" spans="1:7" ht="19.5" customHeight="1">
      <c r="A35" s="3845"/>
      <c r="B35" s="3842"/>
      <c r="C35" s="3099" t="s">
        <v>2468</v>
      </c>
      <c r="D35" s="3100"/>
      <c r="E35" s="3101">
        <v>0.2</v>
      </c>
      <c r="F35" s="3098" t="s">
        <v>2469</v>
      </c>
      <c r="G35" s="3098"/>
    </row>
    <row r="36" spans="1:7" ht="19.5" customHeight="1">
      <c r="A36" s="3845"/>
      <c r="B36" s="3842"/>
      <c r="C36" s="3099" t="s">
        <v>2470</v>
      </c>
      <c r="D36" s="3100"/>
      <c r="E36" s="3101">
        <v>0.2</v>
      </c>
      <c r="F36" s="3098" t="s">
        <v>2471</v>
      </c>
      <c r="G36" s="3098"/>
    </row>
    <row r="37" spans="1:7" ht="19.5" customHeight="1">
      <c r="A37" s="3845"/>
      <c r="B37" s="3847" t="s">
        <v>2632</v>
      </c>
      <c r="C37" s="3099" t="s">
        <v>2472</v>
      </c>
      <c r="D37" s="3100"/>
      <c r="E37" s="3101">
        <v>0.6</v>
      </c>
      <c r="F37" s="3098" t="s">
        <v>2473</v>
      </c>
      <c r="G37" s="3098"/>
    </row>
    <row r="38" spans="1:7" ht="19.5" customHeight="1">
      <c r="A38" s="3845"/>
      <c r="B38" s="3842"/>
      <c r="C38" s="3099" t="s">
        <v>2474</v>
      </c>
      <c r="D38" s="3100"/>
      <c r="E38" s="3101">
        <v>0.6</v>
      </c>
      <c r="F38" s="3098" t="s">
        <v>2475</v>
      </c>
      <c r="G38" s="3098"/>
    </row>
    <row r="39" spans="1:7" ht="19.5" customHeight="1" thickBot="1">
      <c r="A39" s="3846"/>
      <c r="B39" s="3843"/>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48" t="s">
        <v>2610</v>
      </c>
      <c r="B41" s="3841" t="s">
        <v>2634</v>
      </c>
      <c r="C41" s="3095" t="s">
        <v>2479</v>
      </c>
      <c r="D41" s="3096"/>
      <c r="E41" s="3097">
        <v>1</v>
      </c>
      <c r="F41" s="3098" t="s">
        <v>2480</v>
      </c>
      <c r="G41" s="3098"/>
    </row>
    <row r="42" spans="1:7" ht="19.5" customHeight="1">
      <c r="A42" s="3849"/>
      <c r="B42" s="3842"/>
      <c r="C42" s="3099" t="s">
        <v>2481</v>
      </c>
      <c r="D42" s="3100"/>
      <c r="E42" s="3101">
        <v>1</v>
      </c>
      <c r="F42" s="3098" t="s">
        <v>2482</v>
      </c>
      <c r="G42" s="3098"/>
    </row>
    <row r="43" spans="1:7" ht="19.5" customHeight="1">
      <c r="A43" s="3849"/>
      <c r="B43" s="3851"/>
      <c r="C43" s="3099" t="s">
        <v>2483</v>
      </c>
      <c r="D43" s="3100"/>
      <c r="E43" s="3101">
        <v>1.5</v>
      </c>
      <c r="F43" s="3098" t="s">
        <v>2484</v>
      </c>
      <c r="G43" s="3098"/>
    </row>
    <row r="44" spans="1:7" ht="19.5" customHeight="1">
      <c r="A44" s="3849"/>
      <c r="B44" s="3110" t="s">
        <v>2635</v>
      </c>
      <c r="C44" s="3099" t="s">
        <v>2636</v>
      </c>
      <c r="D44" s="3100"/>
      <c r="E44" s="3101">
        <v>2</v>
      </c>
      <c r="F44" s="3098" t="s">
        <v>2485</v>
      </c>
      <c r="G44" s="3098"/>
    </row>
    <row r="45" spans="1:7" ht="19.5" customHeight="1">
      <c r="A45" s="3849"/>
      <c r="B45" s="3847" t="s">
        <v>2637</v>
      </c>
      <c r="C45" s="3099" t="s">
        <v>2486</v>
      </c>
      <c r="D45" s="3100"/>
      <c r="E45" s="3101">
        <v>1</v>
      </c>
      <c r="F45" s="3098" t="s">
        <v>2487</v>
      </c>
      <c r="G45" s="3098"/>
    </row>
    <row r="46" spans="1:7" ht="19.5" customHeight="1">
      <c r="A46" s="3849"/>
      <c r="B46" s="3842"/>
      <c r="C46" s="3099" t="s">
        <v>2488</v>
      </c>
      <c r="D46" s="3100"/>
      <c r="E46" s="3101">
        <v>1</v>
      </c>
      <c r="F46" s="3098" t="s">
        <v>2489</v>
      </c>
      <c r="G46" s="3098"/>
    </row>
    <row r="47" spans="1:7" ht="19.5" customHeight="1">
      <c r="A47" s="3849"/>
      <c r="B47" s="3842"/>
      <c r="C47" s="3099" t="s">
        <v>2490</v>
      </c>
      <c r="D47" s="3100"/>
      <c r="E47" s="3101">
        <v>1</v>
      </c>
      <c r="F47" s="3098" t="s">
        <v>2491</v>
      </c>
      <c r="G47" s="3098"/>
    </row>
    <row r="48" spans="1:7" ht="19.5" customHeight="1">
      <c r="A48" s="3849"/>
      <c r="B48" s="3842"/>
      <c r="C48" s="3099" t="s">
        <v>2492</v>
      </c>
      <c r="D48" s="3100"/>
      <c r="E48" s="3101">
        <v>1</v>
      </c>
      <c r="F48" s="3098" t="s">
        <v>2493</v>
      </c>
      <c r="G48" s="3098"/>
    </row>
    <row r="49" spans="1:7" ht="19.5" customHeight="1">
      <c r="A49" s="3849"/>
      <c r="B49" s="3842"/>
      <c r="C49" s="3099" t="s">
        <v>2494</v>
      </c>
      <c r="D49" s="3100"/>
      <c r="E49" s="3101">
        <v>1</v>
      </c>
      <c r="F49" s="3098" t="s">
        <v>2495</v>
      </c>
      <c r="G49" s="3098"/>
    </row>
    <row r="50" spans="1:7" ht="19.5" customHeight="1">
      <c r="A50" s="3849"/>
      <c r="B50" s="3842"/>
      <c r="C50" s="3099" t="s">
        <v>2496</v>
      </c>
      <c r="D50" s="3100"/>
      <c r="E50" s="3101">
        <v>1</v>
      </c>
      <c r="F50" s="3098" t="s">
        <v>2497</v>
      </c>
      <c r="G50" s="3098"/>
    </row>
    <row r="51" spans="1:7" ht="19.5" customHeight="1" thickBot="1">
      <c r="A51" s="3850"/>
      <c r="B51" s="3843"/>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4.25">
      <c r="A72" s="3110"/>
      <c r="B72" s="3110"/>
      <c r="C72" s="3110" t="s">
        <v>2650</v>
      </c>
      <c r="D72" s="3110"/>
      <c r="E72" s="3110" t="s">
        <v>2621</v>
      </c>
      <c r="F72" s="3110" t="s">
        <v>2621</v>
      </c>
    </row>
    <row r="73" spans="1:7" ht="14.25">
      <c r="A73" s="3110">
        <v>1</v>
      </c>
      <c r="B73" s="3847" t="s">
        <v>2651</v>
      </c>
      <c r="C73" s="3084" t="s">
        <v>2652</v>
      </c>
      <c r="D73" s="3084" t="s">
        <v>2653</v>
      </c>
      <c r="E73" s="3110">
        <v>0.2</v>
      </c>
      <c r="F73" s="3110">
        <v>25</v>
      </c>
    </row>
    <row r="74" spans="1:7" ht="25.5">
      <c r="A74" s="3110">
        <v>2</v>
      </c>
      <c r="B74" s="3842"/>
      <c r="C74" s="3084" t="s">
        <v>2654</v>
      </c>
      <c r="D74" s="3084" t="s">
        <v>2655</v>
      </c>
      <c r="E74" s="3110">
        <v>0.2</v>
      </c>
      <c r="F74" s="3110">
        <v>25</v>
      </c>
    </row>
    <row r="75" spans="1:7" ht="25.5">
      <c r="A75" s="3110">
        <v>3</v>
      </c>
      <c r="B75" s="3842"/>
      <c r="C75" s="3084" t="s">
        <v>2656</v>
      </c>
      <c r="D75" s="3084" t="s">
        <v>2657</v>
      </c>
      <c r="E75" s="3110">
        <v>0.2</v>
      </c>
      <c r="F75" s="3110">
        <v>25</v>
      </c>
    </row>
    <row r="76" spans="1:7" ht="14.25">
      <c r="A76" s="3110">
        <v>4</v>
      </c>
      <c r="B76" s="3842"/>
      <c r="C76" s="3084" t="s">
        <v>2658</v>
      </c>
      <c r="D76" s="3084" t="s">
        <v>2659</v>
      </c>
      <c r="E76" s="3110">
        <v>0.15</v>
      </c>
      <c r="F76" s="3110">
        <v>20</v>
      </c>
    </row>
    <row r="77" spans="1:7" ht="25.5">
      <c r="A77" s="3110">
        <v>5</v>
      </c>
      <c r="B77" s="3842"/>
      <c r="C77" s="3084" t="s">
        <v>2660</v>
      </c>
      <c r="D77" s="3084" t="s">
        <v>2661</v>
      </c>
      <c r="E77" s="3110">
        <v>0.15</v>
      </c>
      <c r="F77" s="3110">
        <v>20</v>
      </c>
    </row>
    <row r="78" spans="1:7" ht="25.5">
      <c r="A78" s="3110">
        <v>6</v>
      </c>
      <c r="B78" s="3842"/>
      <c r="C78" s="3084" t="s">
        <v>2662</v>
      </c>
      <c r="D78" s="3084" t="s">
        <v>2663</v>
      </c>
      <c r="E78" s="3110">
        <v>0.15</v>
      </c>
      <c r="F78" s="3110">
        <v>20</v>
      </c>
    </row>
    <row r="79" spans="1:7" ht="25.5">
      <c r="A79" s="3110">
        <v>7</v>
      </c>
      <c r="B79" s="3842"/>
      <c r="C79" s="3084" t="s">
        <v>2664</v>
      </c>
      <c r="D79" s="3084" t="s">
        <v>2665</v>
      </c>
      <c r="E79" s="3110">
        <v>0.15</v>
      </c>
      <c r="F79" s="3110">
        <v>20</v>
      </c>
    </row>
    <row r="80" spans="1:7" ht="25.5">
      <c r="A80" s="3110">
        <v>8</v>
      </c>
      <c r="B80" s="3842"/>
      <c r="C80" s="3084" t="s">
        <v>2666</v>
      </c>
      <c r="D80" s="3084" t="s">
        <v>2667</v>
      </c>
      <c r="E80" s="3110">
        <v>0.1</v>
      </c>
      <c r="F80" s="3110">
        <v>15</v>
      </c>
    </row>
    <row r="81" spans="1:6" ht="25.5">
      <c r="A81" s="3110">
        <v>9</v>
      </c>
      <c r="B81" s="3842"/>
      <c r="C81" s="3084" t="s">
        <v>2668</v>
      </c>
      <c r="D81" s="3084" t="s">
        <v>2669</v>
      </c>
      <c r="E81" s="3110">
        <v>0.1</v>
      </c>
      <c r="F81" s="3110">
        <v>15</v>
      </c>
    </row>
    <row r="82" spans="1:6" ht="25.5">
      <c r="A82" s="3110">
        <v>10</v>
      </c>
      <c r="B82" s="3842"/>
      <c r="C82" s="3084" t="s">
        <v>2670</v>
      </c>
      <c r="D82" s="3084" t="s">
        <v>2671</v>
      </c>
      <c r="E82" s="3110">
        <v>0.1</v>
      </c>
      <c r="F82" s="3110">
        <v>15</v>
      </c>
    </row>
    <row r="83" spans="1:6" ht="25.5">
      <c r="A83" s="3110">
        <v>11</v>
      </c>
      <c r="B83" s="3842"/>
      <c r="C83" s="3084" t="s">
        <v>2672</v>
      </c>
      <c r="D83" s="3084" t="s">
        <v>2673</v>
      </c>
      <c r="E83" s="3110">
        <v>0.1</v>
      </c>
      <c r="F83" s="3110">
        <v>15</v>
      </c>
    </row>
    <row r="84" spans="1:6" ht="25.5">
      <c r="A84" s="3110">
        <v>12</v>
      </c>
      <c r="B84" s="3842"/>
      <c r="C84" s="3084" t="s">
        <v>2674</v>
      </c>
      <c r="D84" s="3084" t="s">
        <v>2675</v>
      </c>
      <c r="E84" s="3110">
        <v>0.1</v>
      </c>
      <c r="F84" s="3110">
        <v>15</v>
      </c>
    </row>
    <row r="85" spans="1:6" ht="14.25">
      <c r="A85" s="3110">
        <v>13</v>
      </c>
      <c r="B85" s="3842"/>
      <c r="C85" s="3084" t="s">
        <v>2676</v>
      </c>
      <c r="D85" s="3084" t="s">
        <v>2677</v>
      </c>
      <c r="E85" s="3110">
        <v>0.1</v>
      </c>
      <c r="F85" s="3110">
        <v>15</v>
      </c>
    </row>
    <row r="86" spans="1:6" ht="14.25">
      <c r="A86" s="3110">
        <v>14</v>
      </c>
      <c r="B86" s="3842"/>
      <c r="C86" s="3084" t="s">
        <v>2678</v>
      </c>
      <c r="D86" s="3084" t="s">
        <v>2679</v>
      </c>
      <c r="E86" s="3110">
        <v>0.1</v>
      </c>
      <c r="F86" s="3110">
        <v>15</v>
      </c>
    </row>
    <row r="87" spans="1:6" ht="14.25">
      <c r="A87" s="3110">
        <v>15</v>
      </c>
      <c r="B87" s="3842"/>
      <c r="C87" s="3084" t="s">
        <v>2680</v>
      </c>
      <c r="D87" s="3084" t="s">
        <v>2681</v>
      </c>
      <c r="E87" s="3110">
        <v>0.1</v>
      </c>
      <c r="F87" s="3110">
        <v>15</v>
      </c>
    </row>
    <row r="88" spans="1:6" ht="25.5">
      <c r="A88" s="3110">
        <v>16</v>
      </c>
      <c r="B88" s="3842"/>
      <c r="C88" s="3084" t="s">
        <v>2682</v>
      </c>
      <c r="D88" s="3084" t="s">
        <v>2683</v>
      </c>
      <c r="E88" s="3110">
        <v>0.1</v>
      </c>
      <c r="F88" s="3110">
        <v>15</v>
      </c>
    </row>
    <row r="89" spans="1:6" ht="25.5">
      <c r="A89" s="3110">
        <v>17</v>
      </c>
      <c r="B89" s="3851"/>
      <c r="C89" s="3084" t="s">
        <v>2684</v>
      </c>
      <c r="D89" s="3084" t="s">
        <v>2685</v>
      </c>
      <c r="E89" s="3110">
        <v>0.1</v>
      </c>
      <c r="F89" s="3110">
        <v>15</v>
      </c>
    </row>
    <row r="90" spans="1:6" ht="14.25">
      <c r="A90" s="3110">
        <v>18</v>
      </c>
      <c r="B90" s="3847" t="s">
        <v>2686</v>
      </c>
      <c r="C90" s="3084" t="s">
        <v>2687</v>
      </c>
      <c r="D90" s="3084" t="s">
        <v>2688</v>
      </c>
      <c r="E90" s="3110">
        <v>0.2</v>
      </c>
      <c r="F90" s="3110">
        <v>25</v>
      </c>
    </row>
    <row r="91" spans="1:6" ht="25.5">
      <c r="A91" s="3110">
        <v>19</v>
      </c>
      <c r="B91" s="3842"/>
      <c r="C91" s="3084" t="s">
        <v>2689</v>
      </c>
      <c r="D91" s="3084" t="s">
        <v>2690</v>
      </c>
      <c r="E91" s="3110">
        <v>0.2</v>
      </c>
      <c r="F91" s="3110">
        <v>25</v>
      </c>
    </row>
    <row r="92" spans="1:6" ht="14.25">
      <c r="A92" s="3110">
        <v>20</v>
      </c>
      <c r="B92" s="3842"/>
      <c r="C92" s="3084" t="s">
        <v>2691</v>
      </c>
      <c r="D92" s="3084" t="s">
        <v>2692</v>
      </c>
      <c r="E92" s="3110">
        <v>0.15</v>
      </c>
      <c r="F92" s="3110">
        <v>20</v>
      </c>
    </row>
    <row r="93" spans="1:6" ht="25.5">
      <c r="A93" s="3110">
        <v>21</v>
      </c>
      <c r="B93" s="3842"/>
      <c r="C93" s="3084" t="s">
        <v>2693</v>
      </c>
      <c r="D93" s="3084" t="s">
        <v>2694</v>
      </c>
      <c r="E93" s="3110">
        <v>0.15</v>
      </c>
      <c r="F93" s="3110">
        <v>20</v>
      </c>
    </row>
    <row r="94" spans="1:6" ht="25.5">
      <c r="A94" s="3110">
        <v>22</v>
      </c>
      <c r="B94" s="3842"/>
      <c r="C94" s="3084" t="s">
        <v>2695</v>
      </c>
      <c r="D94" s="3084" t="s">
        <v>2696</v>
      </c>
      <c r="E94" s="3110">
        <v>0.15</v>
      </c>
      <c r="F94" s="3110">
        <v>20</v>
      </c>
    </row>
    <row r="95" spans="1:6" ht="38.25">
      <c r="A95" s="3110">
        <v>23</v>
      </c>
      <c r="B95" s="3842"/>
      <c r="C95" s="3084" t="s">
        <v>2697</v>
      </c>
      <c r="D95" s="3084" t="s">
        <v>2698</v>
      </c>
      <c r="E95" s="3110">
        <v>0.15</v>
      </c>
      <c r="F95" s="3110">
        <v>20</v>
      </c>
    </row>
    <row r="96" spans="1:6" ht="14.25">
      <c r="A96" s="3110">
        <v>24</v>
      </c>
      <c r="B96" s="3842"/>
      <c r="C96" s="3084" t="s">
        <v>2699</v>
      </c>
      <c r="D96" s="3084" t="s">
        <v>2700</v>
      </c>
      <c r="E96" s="3110">
        <v>0.1</v>
      </c>
      <c r="F96" s="3110">
        <v>15</v>
      </c>
    </row>
    <row r="97" spans="1:6" ht="25.5">
      <c r="A97" s="3110">
        <v>25</v>
      </c>
      <c r="B97" s="3842"/>
      <c r="C97" s="3084" t="s">
        <v>2701</v>
      </c>
      <c r="D97" s="3084" t="s">
        <v>2702</v>
      </c>
      <c r="E97" s="3110">
        <v>0.1</v>
      </c>
      <c r="F97" s="3110">
        <v>15</v>
      </c>
    </row>
    <row r="98" spans="1:6" ht="25.5">
      <c r="A98" s="3110">
        <v>26</v>
      </c>
      <c r="B98" s="3842"/>
      <c r="C98" s="3084" t="s">
        <v>2703</v>
      </c>
      <c r="D98" s="3084" t="s">
        <v>2704</v>
      </c>
      <c r="E98" s="3110">
        <v>0.1</v>
      </c>
      <c r="F98" s="3110">
        <v>15</v>
      </c>
    </row>
    <row r="99" spans="1:6" ht="25.5">
      <c r="A99" s="3110">
        <v>27</v>
      </c>
      <c r="B99" s="3842"/>
      <c r="C99" s="3084" t="s">
        <v>2705</v>
      </c>
      <c r="D99" s="3084" t="s">
        <v>2706</v>
      </c>
      <c r="E99" s="3110">
        <v>0.1</v>
      </c>
      <c r="F99" s="3110">
        <v>15</v>
      </c>
    </row>
    <row r="100" spans="1:6" ht="25.5">
      <c r="A100" s="3110">
        <v>28</v>
      </c>
      <c r="B100" s="3842"/>
      <c r="C100" s="3084" t="s">
        <v>2707</v>
      </c>
      <c r="D100" s="3084" t="s">
        <v>2708</v>
      </c>
      <c r="E100" s="3110">
        <v>0.1</v>
      </c>
      <c r="F100" s="3110">
        <v>15</v>
      </c>
    </row>
    <row r="101" spans="1:6" ht="25.5">
      <c r="A101" s="3110">
        <v>29</v>
      </c>
      <c r="B101" s="3842"/>
      <c r="C101" s="3084" t="s">
        <v>2709</v>
      </c>
      <c r="D101" s="3084" t="s">
        <v>2710</v>
      </c>
      <c r="E101" s="3110">
        <v>0.1</v>
      </c>
      <c r="F101" s="3110">
        <v>15</v>
      </c>
    </row>
    <row r="102" spans="1:6" ht="25.5">
      <c r="A102" s="3110">
        <v>30</v>
      </c>
      <c r="B102" s="3842"/>
      <c r="C102" s="3084" t="s">
        <v>2711</v>
      </c>
      <c r="D102" s="3084" t="s">
        <v>2712</v>
      </c>
      <c r="E102" s="3110">
        <v>0.1</v>
      </c>
      <c r="F102" s="3110">
        <v>15</v>
      </c>
    </row>
    <row r="103" spans="1:6" ht="25.5">
      <c r="A103" s="3110">
        <v>31</v>
      </c>
      <c r="B103" s="3842"/>
      <c r="C103" s="3084" t="s">
        <v>2713</v>
      </c>
      <c r="D103" s="3084" t="s">
        <v>2714</v>
      </c>
      <c r="E103" s="3110">
        <v>0.1</v>
      </c>
      <c r="F103" s="3110">
        <v>15</v>
      </c>
    </row>
    <row r="104" spans="1:6" ht="25.5">
      <c r="A104" s="3110">
        <v>32</v>
      </c>
      <c r="B104" s="3842"/>
      <c r="C104" s="3084" t="s">
        <v>2715</v>
      </c>
      <c r="D104" s="3084" t="s">
        <v>2716</v>
      </c>
      <c r="E104" s="3110">
        <v>0.1</v>
      </c>
      <c r="F104" s="3110">
        <v>15</v>
      </c>
    </row>
    <row r="105" spans="1:6" ht="25.5">
      <c r="A105" s="3110">
        <v>33</v>
      </c>
      <c r="B105" s="3842"/>
      <c r="C105" s="3084" t="s">
        <v>2717</v>
      </c>
      <c r="D105" s="3084" t="s">
        <v>2718</v>
      </c>
      <c r="E105" s="3110">
        <v>0.1</v>
      </c>
      <c r="F105" s="3110">
        <v>15</v>
      </c>
    </row>
    <row r="106" spans="1:6" ht="25.5">
      <c r="A106" s="3110">
        <v>34</v>
      </c>
      <c r="B106" s="3851"/>
      <c r="C106" s="3084" t="s">
        <v>2719</v>
      </c>
      <c r="D106" s="3084" t="s">
        <v>2720</v>
      </c>
      <c r="E106" s="3110">
        <v>0.1</v>
      </c>
      <c r="F106" s="3110">
        <v>15</v>
      </c>
    </row>
    <row r="107" spans="1:6" ht="25.5">
      <c r="A107" s="3110">
        <v>35</v>
      </c>
      <c r="B107" s="3847" t="s">
        <v>2721</v>
      </c>
      <c r="C107" s="3110" t="s">
        <v>2722</v>
      </c>
      <c r="D107" s="3084" t="s">
        <v>2723</v>
      </c>
      <c r="E107" s="3110">
        <v>0.15</v>
      </c>
      <c r="F107" s="3110">
        <v>20</v>
      </c>
    </row>
    <row r="108" spans="1:6" ht="25.5">
      <c r="A108" s="3110">
        <v>36</v>
      </c>
      <c r="B108" s="3842"/>
      <c r="C108" s="3110" t="s">
        <v>2724</v>
      </c>
      <c r="D108" s="3084" t="s">
        <v>2725</v>
      </c>
      <c r="E108" s="3110">
        <v>0.15</v>
      </c>
      <c r="F108" s="3110">
        <v>20</v>
      </c>
    </row>
    <row r="109" spans="1:6" ht="25.5">
      <c r="A109" s="3110">
        <v>37</v>
      </c>
      <c r="B109" s="3842"/>
      <c r="C109" s="3110" t="s">
        <v>2726</v>
      </c>
      <c r="D109" s="3084" t="s">
        <v>2727</v>
      </c>
      <c r="E109" s="3110">
        <v>0.15</v>
      </c>
      <c r="F109" s="3110">
        <v>20</v>
      </c>
    </row>
    <row r="110" spans="1:6" ht="14.25">
      <c r="A110" s="3110">
        <v>38</v>
      </c>
      <c r="B110" s="3842"/>
      <c r="C110" s="3110" t="s">
        <v>2728</v>
      </c>
      <c r="D110" s="3084" t="s">
        <v>2729</v>
      </c>
      <c r="E110" s="3110">
        <v>0.1</v>
      </c>
      <c r="F110" s="3110">
        <v>15</v>
      </c>
    </row>
    <row r="111" spans="1:6" ht="25.5">
      <c r="A111" s="3110">
        <v>39</v>
      </c>
      <c r="B111" s="3842"/>
      <c r="C111" s="3110" t="s">
        <v>2730</v>
      </c>
      <c r="D111" s="3084" t="s">
        <v>2731</v>
      </c>
      <c r="E111" s="3110">
        <v>0.1</v>
      </c>
      <c r="F111" s="3110">
        <v>15</v>
      </c>
    </row>
    <row r="112" spans="1:6" ht="25.5">
      <c r="A112" s="3110">
        <v>40</v>
      </c>
      <c r="B112" s="3851"/>
      <c r="C112" s="3110" t="s">
        <v>2732</v>
      </c>
      <c r="D112" s="3084" t="s">
        <v>2733</v>
      </c>
      <c r="E112" s="3110">
        <v>0.1</v>
      </c>
      <c r="F112" s="3110">
        <v>15</v>
      </c>
    </row>
    <row r="113" spans="1:6" ht="25.5">
      <c r="A113" s="3110">
        <v>41</v>
      </c>
      <c r="B113" s="3852" t="s">
        <v>2734</v>
      </c>
      <c r="C113" s="3110" t="s">
        <v>2735</v>
      </c>
      <c r="D113" s="3084" t="s">
        <v>2736</v>
      </c>
      <c r="E113" s="3110">
        <v>0.1</v>
      </c>
      <c r="F113" s="3110">
        <v>15</v>
      </c>
    </row>
    <row r="114" spans="1:6" ht="14.25">
      <c r="A114" s="3110">
        <v>42</v>
      </c>
      <c r="B114" s="3852"/>
      <c r="C114" s="3110" t="s">
        <v>2737</v>
      </c>
      <c r="D114" s="3084" t="s">
        <v>2738</v>
      </c>
      <c r="E114" s="3110">
        <v>0.1</v>
      </c>
      <c r="F114" s="3110">
        <v>15</v>
      </c>
    </row>
    <row r="115" spans="1:6" ht="25.5">
      <c r="A115" s="3110">
        <v>43</v>
      </c>
      <c r="B115" s="3852"/>
      <c r="C115" s="3110" t="s">
        <v>2739</v>
      </c>
      <c r="D115" s="3084" t="s">
        <v>2740</v>
      </c>
      <c r="E115" s="3110">
        <v>0.1</v>
      </c>
      <c r="F115" s="3110">
        <v>15</v>
      </c>
    </row>
    <row r="116" spans="1:6" ht="25.5">
      <c r="A116" s="3110">
        <v>44</v>
      </c>
      <c r="B116" s="3847" t="s">
        <v>2741</v>
      </c>
      <c r="C116" s="3110" t="s">
        <v>2742</v>
      </c>
      <c r="D116" s="3084" t="s">
        <v>2743</v>
      </c>
      <c r="E116" s="3110">
        <v>0.1</v>
      </c>
      <c r="F116" s="3110">
        <v>15</v>
      </c>
    </row>
    <row r="117" spans="1:6" ht="25.5">
      <c r="A117" s="3110">
        <v>45</v>
      </c>
      <c r="B117" s="3851"/>
      <c r="C117" s="3084" t="s">
        <v>2744</v>
      </c>
      <c r="D117" s="3084" t="s">
        <v>2745</v>
      </c>
      <c r="E117" s="3110">
        <v>0.1</v>
      </c>
      <c r="F117" s="3110">
        <v>15</v>
      </c>
    </row>
    <row r="118" spans="1:6" ht="25.5">
      <c r="A118" s="3110">
        <v>46</v>
      </c>
      <c r="B118" s="3847" t="s">
        <v>2746</v>
      </c>
      <c r="C118" s="3110" t="s">
        <v>2747</v>
      </c>
      <c r="D118" s="3084" t="s">
        <v>2748</v>
      </c>
      <c r="E118" s="3110">
        <v>0.1</v>
      </c>
      <c r="F118" s="3110">
        <v>15</v>
      </c>
    </row>
    <row r="119" spans="1:6" ht="25.5">
      <c r="A119" s="3110">
        <v>47</v>
      </c>
      <c r="B119" s="3851"/>
      <c r="C119" s="3110" t="s">
        <v>2749</v>
      </c>
      <c r="D119" s="3084" t="s">
        <v>2750</v>
      </c>
      <c r="E119" s="3110">
        <v>0.1</v>
      </c>
      <c r="F119" s="3110">
        <v>15</v>
      </c>
    </row>
    <row r="120" spans="1:6" ht="25.5">
      <c r="A120" s="3110">
        <v>48</v>
      </c>
      <c r="B120" s="3847" t="s">
        <v>2751</v>
      </c>
      <c r="C120" s="3110" t="s">
        <v>2752</v>
      </c>
      <c r="D120" s="3084" t="s">
        <v>2753</v>
      </c>
      <c r="E120" s="3110">
        <v>0.1</v>
      </c>
      <c r="F120" s="3110">
        <v>15</v>
      </c>
    </row>
    <row r="121" spans="1:6" ht="14.25">
      <c r="A121" s="3110">
        <v>49</v>
      </c>
      <c r="B121" s="3851"/>
      <c r="C121" s="3110" t="s">
        <v>2754</v>
      </c>
      <c r="D121" s="3084" t="s">
        <v>2755</v>
      </c>
      <c r="E121" s="3110">
        <v>0.1</v>
      </c>
      <c r="F121" s="3110">
        <v>15</v>
      </c>
    </row>
    <row r="122" spans="1:6" ht="25.5">
      <c r="A122" s="3110">
        <v>50</v>
      </c>
      <c r="B122" s="3852" t="s">
        <v>2756</v>
      </c>
      <c r="C122" s="3110" t="s">
        <v>2757</v>
      </c>
      <c r="D122" s="3084" t="s">
        <v>2758</v>
      </c>
      <c r="E122" s="3110">
        <v>0.1</v>
      </c>
      <c r="F122" s="3110">
        <v>15</v>
      </c>
    </row>
    <row r="123" spans="1:6" ht="25.5">
      <c r="A123" s="3110">
        <v>51</v>
      </c>
      <c r="B123" s="3852"/>
      <c r="C123" s="3110" t="s">
        <v>2759</v>
      </c>
      <c r="D123" s="3084" t="s">
        <v>2760</v>
      </c>
      <c r="E123" s="3110">
        <v>0.1</v>
      </c>
      <c r="F123" s="3110">
        <v>15</v>
      </c>
    </row>
    <row r="124" spans="1:6" ht="25.5">
      <c r="A124" s="3110">
        <v>52</v>
      </c>
      <c r="B124" s="3852" t="s">
        <v>2761</v>
      </c>
      <c r="C124" s="3110" t="s">
        <v>2762</v>
      </c>
      <c r="D124" s="3084" t="s">
        <v>2763</v>
      </c>
      <c r="E124" s="3110">
        <v>0.1</v>
      </c>
      <c r="F124" s="3110">
        <v>15</v>
      </c>
    </row>
    <row r="125" spans="1:6" ht="25.5">
      <c r="A125" s="3110">
        <v>53</v>
      </c>
      <c r="B125" s="3852"/>
      <c r="C125" s="3110" t="s">
        <v>2764</v>
      </c>
      <c r="D125" s="3084" t="s">
        <v>2765</v>
      </c>
      <c r="E125" s="3110">
        <v>0.1</v>
      </c>
      <c r="F125" s="3110">
        <v>15</v>
      </c>
    </row>
    <row r="126" spans="1:6" ht="25.5">
      <c r="A126" s="3110">
        <v>54</v>
      </c>
      <c r="B126" s="3110" t="s">
        <v>2766</v>
      </c>
      <c r="C126" s="3110" t="s">
        <v>2767</v>
      </c>
      <c r="D126" s="3084" t="s">
        <v>2768</v>
      </c>
      <c r="E126" s="3110">
        <v>0.1</v>
      </c>
      <c r="F126" s="3110">
        <v>15</v>
      </c>
    </row>
    <row r="127" spans="1:6" ht="14.25">
      <c r="A127" s="3110">
        <v>55</v>
      </c>
      <c r="B127" s="3852" t="s">
        <v>2769</v>
      </c>
      <c r="C127" s="3110" t="s">
        <v>2770</v>
      </c>
      <c r="D127" s="3084" t="s">
        <v>2771</v>
      </c>
      <c r="E127" s="3110">
        <v>0.1</v>
      </c>
      <c r="F127" s="3110">
        <v>15</v>
      </c>
    </row>
    <row r="128" spans="1:6" ht="14.25">
      <c r="A128" s="3110">
        <v>56</v>
      </c>
      <c r="B128" s="3852"/>
      <c r="C128" s="3110" t="s">
        <v>2772</v>
      </c>
      <c r="D128" s="3084" t="s">
        <v>2773</v>
      </c>
      <c r="E128" s="3110">
        <v>0.1</v>
      </c>
      <c r="F128" s="3110">
        <v>15</v>
      </c>
    </row>
    <row r="129" spans="1:6" ht="25.5">
      <c r="A129" s="3110">
        <v>57</v>
      </c>
      <c r="B129" s="3852"/>
      <c r="C129" s="3110" t="s">
        <v>2774</v>
      </c>
      <c r="D129" s="3084" t="s">
        <v>2775</v>
      </c>
      <c r="E129" s="3110">
        <v>0.1</v>
      </c>
      <c r="F129" s="3110">
        <v>15</v>
      </c>
    </row>
    <row r="130" spans="1:6" ht="25.5">
      <c r="A130" s="3110">
        <v>58</v>
      </c>
      <c r="B130" s="3852" t="s">
        <v>2776</v>
      </c>
      <c r="C130" s="3110" t="s">
        <v>2777</v>
      </c>
      <c r="D130" s="3084" t="s">
        <v>2778</v>
      </c>
      <c r="E130" s="3110">
        <v>0.1</v>
      </c>
      <c r="F130" s="3110">
        <v>15</v>
      </c>
    </row>
    <row r="131" spans="1:6" ht="25.5">
      <c r="A131" s="3110">
        <v>59</v>
      </c>
      <c r="B131" s="3852"/>
      <c r="C131" s="3110" t="s">
        <v>2779</v>
      </c>
      <c r="D131" s="3084" t="s">
        <v>2780</v>
      </c>
      <c r="E131" s="3110">
        <v>0.1</v>
      </c>
      <c r="F131" s="3110">
        <v>15</v>
      </c>
    </row>
    <row r="132" spans="1:6" ht="25.5">
      <c r="A132" s="3110">
        <v>60</v>
      </c>
      <c r="B132" s="3847" t="s">
        <v>2781</v>
      </c>
      <c r="C132" s="3110" t="s">
        <v>2782</v>
      </c>
      <c r="D132" s="3084" t="s">
        <v>2783</v>
      </c>
      <c r="E132" s="3110">
        <v>0.1</v>
      </c>
      <c r="F132" s="3110">
        <v>15</v>
      </c>
    </row>
    <row r="133" spans="1:6" ht="25.5">
      <c r="A133" s="3110">
        <v>61</v>
      </c>
      <c r="B133" s="3851"/>
      <c r="C133" s="3110" t="s">
        <v>2784</v>
      </c>
      <c r="D133" s="3084" t="s">
        <v>2785</v>
      </c>
      <c r="E133" s="3110">
        <v>0.1</v>
      </c>
      <c r="F133" s="3110">
        <v>15</v>
      </c>
    </row>
    <row r="134" spans="1:6" ht="25.5">
      <c r="A134" s="3110">
        <v>62</v>
      </c>
      <c r="B134" s="3110" t="s">
        <v>2786</v>
      </c>
      <c r="C134" s="3110" t="s">
        <v>2787</v>
      </c>
      <c r="D134" s="3084" t="s">
        <v>2788</v>
      </c>
      <c r="E134" s="3110">
        <v>0.1</v>
      </c>
      <c r="F134" s="3110">
        <v>15</v>
      </c>
    </row>
    <row r="135" spans="1:6" ht="25.5">
      <c r="A135" s="3110">
        <v>63</v>
      </c>
      <c r="B135" s="3852" t="s">
        <v>2789</v>
      </c>
      <c r="C135" s="3110" t="s">
        <v>2790</v>
      </c>
      <c r="D135" s="3084" t="s">
        <v>2791</v>
      </c>
      <c r="E135" s="3110">
        <v>0.1</v>
      </c>
      <c r="F135" s="3110">
        <v>15</v>
      </c>
    </row>
    <row r="136" spans="1:6" ht="14.25">
      <c r="A136" s="3110">
        <v>64</v>
      </c>
      <c r="B136" s="3852"/>
      <c r="C136" s="3110" t="s">
        <v>2792</v>
      </c>
      <c r="D136" s="3084" t="s">
        <v>2793</v>
      </c>
      <c r="E136" s="3110">
        <v>0.1</v>
      </c>
      <c r="F136" s="3110">
        <v>15</v>
      </c>
    </row>
    <row r="137" spans="1:6" ht="25.5">
      <c r="A137" s="3110">
        <v>65</v>
      </c>
      <c r="B137" s="3110" t="s">
        <v>2794</v>
      </c>
      <c r="C137" s="3110" t="s">
        <v>2795</v>
      </c>
      <c r="D137" s="3084" t="s">
        <v>2796</v>
      </c>
      <c r="E137" s="3110">
        <v>0.1</v>
      </c>
      <c r="F137" s="3110">
        <v>15</v>
      </c>
    </row>
    <row r="138" spans="1:6" ht="14.25">
      <c r="A138" s="3110"/>
      <c r="B138" s="3110"/>
      <c r="C138" s="3110"/>
      <c r="D138" s="3110"/>
      <c r="E138" s="3110" t="s">
        <v>2797</v>
      </c>
      <c r="F138" s="311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25"/>
  <cols>
    <col min="1" max="13" width="9" style="3133"/>
    <col min="14" max="16384" width="9" style="746"/>
  </cols>
  <sheetData>
    <row r="1" spans="1:20" ht="15" thickBot="1">
      <c r="A1" s="3119" t="s">
        <v>2798</v>
      </c>
      <c r="B1" s="3119"/>
      <c r="C1" s="3119"/>
      <c r="D1" s="3119"/>
      <c r="E1" s="3119"/>
      <c r="F1" s="3119"/>
      <c r="G1" s="3119"/>
      <c r="H1" s="3119"/>
      <c r="I1" s="3119"/>
      <c r="J1" s="3119"/>
      <c r="K1" s="3119"/>
      <c r="L1" s="3119"/>
      <c r="M1" s="3119"/>
      <c r="N1" s="745"/>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7"/>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7"/>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7"/>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6">
        <f>SUMPRODUCT((A95:A184=ROUNDDOWN(基准地价修正!G3,1))*(B94:M94=基准地价修正!G2)*(B95:M184))</f>
        <v>0</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5"/>
    </row>
    <row r="104" spans="1:14">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5"/>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6">
        <f>SUMPRODUCT((A371:A460=ROUNDDOWN(基准地价修正!G3,1))*(B370:M370=基准地价修正!G2)*(B371:M460))</f>
        <v>0</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29017</v>
      </c>
      <c r="C2" s="2" t="s">
        <v>106</v>
      </c>
      <c r="D2" s="196"/>
      <c r="E2" s="196"/>
      <c r="F2" s="196"/>
      <c r="G2" s="196"/>
    </row>
    <row r="3" spans="1:7" s="197" customFormat="1" ht="18" customHeight="1" thickBot="1">
      <c r="A3" s="200" t="s">
        <v>58</v>
      </c>
      <c r="B3" s="201">
        <f ca="1">ROUND(B2*10000/'数据-汇总表'!E3,0)</f>
        <v>290170000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618</v>
      </c>
      <c r="D20" s="229"/>
      <c r="E20" s="229"/>
      <c r="F20" s="230">
        <f>'数据-取费表'!B37</f>
        <v>0.03</v>
      </c>
      <c r="G20" s="1063" t="s">
        <v>430</v>
      </c>
    </row>
    <row r="21" spans="1:7" s="211" customFormat="1" ht="13.5" customHeight="1">
      <c r="A21" s="773" t="s">
        <v>421</v>
      </c>
      <c r="B21" s="207" t="s">
        <v>78</v>
      </c>
      <c r="C21" s="232">
        <f>F21</f>
        <v>0.03</v>
      </c>
      <c r="D21" s="233" t="s">
        <v>99</v>
      </c>
      <c r="E21" s="229"/>
      <c r="F21" s="230">
        <f>'数据-取费表'!B38</f>
        <v>0.03</v>
      </c>
      <c r="G21" s="231" t="s">
        <v>79</v>
      </c>
    </row>
    <row r="22" spans="1:7" s="211" customFormat="1" ht="13.5" customHeight="1">
      <c r="A22" s="773" t="s">
        <v>341</v>
      </c>
      <c r="B22" s="207" t="s">
        <v>80</v>
      </c>
      <c r="C22" s="1100">
        <f ca="1">ROUND(SUM(C23:C25),0)</f>
        <v>3124</v>
      </c>
      <c r="D22" s="232">
        <f ca="1">C26</f>
        <v>2.2000000000000001E-3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3079</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45</v>
      </c>
      <c r="D25" s="235"/>
      <c r="E25" s="238"/>
      <c r="F25" s="236"/>
      <c r="G25" s="239" t="s">
        <v>83</v>
      </c>
    </row>
    <row r="26" spans="1:7" s="211" customFormat="1">
      <c r="A26" s="776" t="s">
        <v>350</v>
      </c>
      <c r="B26" s="212" t="s">
        <v>422</v>
      </c>
      <c r="C26" s="235">
        <f ca="1">ROUND(IF('数据-取费表'!B22&lt;=1,F21*F22*'数据-取费表'!B23/2,F21*(POWER((1+F22),'数据-取费表'!B23/2)-1)),4)</f>
        <v>2.2000000000000001E-3</v>
      </c>
      <c r="D26" s="235"/>
      <c r="E26" s="238"/>
      <c r="F26" s="236"/>
      <c r="G26" s="240"/>
    </row>
    <row r="27" spans="1:7" s="211" customFormat="1" ht="24.75">
      <c r="A27" s="773" t="s">
        <v>342</v>
      </c>
      <c r="B27" s="241" t="s">
        <v>85</v>
      </c>
      <c r="C27" s="242">
        <f>C28</f>
        <v>2123</v>
      </c>
      <c r="D27" s="232">
        <f>C29</f>
        <v>3.0000000000000001E-3</v>
      </c>
      <c r="E27" s="233" t="s">
        <v>99</v>
      </c>
      <c r="F27" s="243">
        <f>'数据-取费表'!Q16</f>
        <v>0.1</v>
      </c>
      <c r="G27" s="244" t="s">
        <v>431</v>
      </c>
    </row>
    <row r="28" spans="1:7" s="211" customFormat="1" ht="13.5" customHeight="1">
      <c r="A28" s="776" t="s">
        <v>349</v>
      </c>
      <c r="B28" s="245" t="s">
        <v>424</v>
      </c>
      <c r="C28" s="246">
        <f>ROUND((C5+C19+C20)*F27*'数据-取费表'!B21/'数据-取费表'!B20,0)</f>
        <v>2123</v>
      </c>
      <c r="D28" s="232"/>
      <c r="E28" s="233"/>
      <c r="F28" s="243"/>
      <c r="G28" s="244"/>
    </row>
    <row r="29" spans="1:7" s="211" customFormat="1" ht="13.5" customHeight="1">
      <c r="A29" s="776" t="s">
        <v>347</v>
      </c>
      <c r="B29" s="245" t="s">
        <v>425</v>
      </c>
      <c r="C29" s="235">
        <f>ROUND(C21*F27*'数据-取费表'!B21/'数据-取费表'!B20,4)</f>
        <v>3.0000000000000001E-3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29016</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0.05</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0.05</v>
      </c>
      <c r="G36" s="257" t="s">
        <v>35</v>
      </c>
    </row>
    <row r="37" spans="1:7" s="255" customFormat="1" ht="13.5" customHeight="1">
      <c r="A37" s="776" t="s">
        <v>353</v>
      </c>
      <c r="B37" s="212" t="s">
        <v>91</v>
      </c>
      <c r="C37" s="246">
        <f>ROUND(E37*D37*F34/10000,0)</f>
        <v>0</v>
      </c>
      <c r="D37" s="214">
        <f>'数据-汇总表'!E3</f>
        <v>1</v>
      </c>
      <c r="E37" s="246">
        <f>'数据-取费表'!B35</f>
        <v>200</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0.03</v>
      </c>
      <c r="D40" s="233" t="s">
        <v>102</v>
      </c>
      <c r="E40" s="229"/>
      <c r="F40" s="230"/>
      <c r="G40" s="231" t="s">
        <v>93</v>
      </c>
    </row>
    <row r="41" spans="1:7" s="211" customFormat="1" ht="13.5" customHeight="1">
      <c r="A41" s="773" t="s">
        <v>340</v>
      </c>
      <c r="B41" s="207" t="s">
        <v>80</v>
      </c>
      <c r="C41" s="229">
        <f ca="1">ROUND(SUM(C42:C43),0)</f>
        <v>0</v>
      </c>
      <c r="D41" s="232">
        <f ca="1">C44</f>
        <v>2.2000000000000001E-3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684" t="s">
        <v>94</v>
      </c>
    </row>
    <row r="43" spans="1:7" ht="13.5" customHeight="1">
      <c r="A43" s="776" t="s">
        <v>347</v>
      </c>
      <c r="B43" s="212" t="s">
        <v>426</v>
      </c>
      <c r="C43" s="235">
        <f ca="1">ROUND(IF('数据-取费表'!B22&lt;=1,C39*F22*'数据-取费表'!B21/2,C39*(POWER((1+F22),'数据-取费表'!B21/2)-1)),0)</f>
        <v>0</v>
      </c>
      <c r="D43" s="235"/>
      <c r="E43" s="235"/>
      <c r="F43" s="236"/>
      <c r="G43" s="3685"/>
    </row>
    <row r="44" spans="1:7" ht="13.5" customHeight="1">
      <c r="A44" s="776" t="s">
        <v>348</v>
      </c>
      <c r="B44" s="212" t="s">
        <v>428</v>
      </c>
      <c r="C44" s="235">
        <f ca="1">ROUND(IF('数据-取费表'!B22&lt;=1,C40*F22*'数据-取费表'!B21/2,C40*(POWER((1+F22),'数据-取费表'!B21/2)-1)),4)</f>
        <v>2.2000000000000001E-3</v>
      </c>
      <c r="D44" s="235"/>
      <c r="E44" s="235"/>
      <c r="F44" s="236"/>
      <c r="G44" s="3686"/>
    </row>
    <row r="45" spans="1:7" s="211" customFormat="1" ht="13.5" customHeight="1">
      <c r="A45" s="773" t="s">
        <v>341</v>
      </c>
      <c r="B45" s="241" t="s">
        <v>85</v>
      </c>
      <c r="C45" s="242">
        <f>C46</f>
        <v>0</v>
      </c>
      <c r="D45" s="232">
        <f>C47</f>
        <v>3.0000000000000001E-3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3.0000000000000001E-3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29017</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75" defaultRowHeight="12"/>
  <cols>
    <col min="1" max="1" width="9.625" style="3218" customWidth="1"/>
    <col min="2" max="2" width="18.625" style="3218" customWidth="1"/>
    <col min="3" max="6" width="10.125" style="3218" customWidth="1"/>
    <col min="7" max="7" width="10.5" style="3218" bestFit="1" customWidth="1"/>
    <col min="8" max="8" width="8.875" style="3214"/>
    <col min="9" max="9" width="13.375" style="3214" customWidth="1"/>
    <col min="10" max="13" width="13.375" style="3218" customWidth="1"/>
    <col min="14" max="14" width="18.125" style="3218" customWidth="1"/>
    <col min="15" max="17" width="15.125" style="3218" customWidth="1"/>
    <col min="18" max="20" width="11.5" style="3218" customWidth="1"/>
    <col min="21" max="16384" width="8.875" style="3218"/>
  </cols>
  <sheetData>
    <row r="1" spans="1:20" ht="12.75" thickBot="1">
      <c r="A1" s="3855" t="s">
        <v>2843</v>
      </c>
      <c r="B1" s="3855"/>
      <c r="C1" s="3855"/>
      <c r="D1" s="3855"/>
      <c r="E1" s="3855"/>
      <c r="F1" s="3855"/>
      <c r="G1" s="3856"/>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75"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53" t="s">
        <v>2870</v>
      </c>
      <c r="B3" s="3222"/>
      <c r="C3" s="3223" t="s">
        <v>2811</v>
      </c>
      <c r="D3" s="3223" t="s">
        <v>2871</v>
      </c>
      <c r="E3" s="3223" t="s">
        <v>2813</v>
      </c>
      <c r="F3" s="3223" t="s">
        <v>2872</v>
      </c>
      <c r="G3" s="3223" t="s">
        <v>2631</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75" thickBot="1">
      <c r="A4" s="3854"/>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75"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75"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75"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75"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75"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75"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4.25"/>
  <cols>
    <col min="1" max="1" width="12.625" style="3281" customWidth="1"/>
    <col min="2" max="2" width="20" style="3281" customWidth="1"/>
    <col min="3" max="7" width="8.875" style="3245"/>
    <col min="8" max="16384" width="8.875" style="3246"/>
  </cols>
  <sheetData>
    <row r="1" spans="1:7">
      <c r="A1" s="3857" t="s">
        <v>3185</v>
      </c>
      <c r="B1" s="3857"/>
    </row>
    <row r="2" spans="1:7" ht="15" thickBot="1">
      <c r="A2" s="3247"/>
      <c r="B2" s="3247"/>
    </row>
    <row r="3" spans="1:7" ht="15" thickBot="1">
      <c r="A3" s="3247"/>
      <c r="B3" s="3247"/>
      <c r="C3" s="3248" t="s">
        <v>2811</v>
      </c>
      <c r="D3" s="3248" t="s">
        <v>2871</v>
      </c>
      <c r="E3" s="3248" t="s">
        <v>2813</v>
      </c>
      <c r="F3" s="3248" t="s">
        <v>2872</v>
      </c>
      <c r="G3" s="3248" t="s">
        <v>2631</v>
      </c>
    </row>
    <row r="4" spans="1:7" ht="1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125" defaultRowHeight="14.25"/>
  <cols>
    <col min="1" max="16384" width="13.125" style="3282"/>
  </cols>
  <sheetData>
    <row r="1" spans="1:6">
      <c r="A1" s="3858" t="s">
        <v>3236</v>
      </c>
      <c r="B1" s="3858"/>
      <c r="C1" s="3858"/>
      <c r="D1" s="3858"/>
      <c r="E1" s="3858"/>
      <c r="F1" s="3859"/>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I22" sqref="I22"/>
    </sheetView>
  </sheetViews>
  <sheetFormatPr defaultColWidth="8.875" defaultRowHeight="14.25"/>
  <cols>
    <col min="1" max="1" width="4.875" style="1238" customWidth="1"/>
    <col min="2" max="2" width="13.125" style="1244" customWidth="1"/>
    <col min="3" max="3" width="15.625" style="1244" customWidth="1"/>
    <col min="4" max="4" width="9.375" style="1244" bestFit="1" customWidth="1"/>
    <col min="5" max="5" width="13.5" style="1244" customWidth="1"/>
    <col min="6" max="6" width="8.875" style="1244"/>
    <col min="7" max="7" width="9.375" style="1244" bestFit="1" customWidth="1"/>
    <col min="8" max="8" width="12.125" style="1244" customWidth="1"/>
    <col min="9" max="9" width="8.875" style="1244"/>
    <col min="10" max="10" width="9.375" style="1244" bestFit="1" customWidth="1"/>
    <col min="11" max="11" width="4" style="1238" customWidth="1"/>
    <col min="12" max="12" width="5.125" style="1244" customWidth="1"/>
    <col min="13" max="13" width="13.875" style="1244" customWidth="1"/>
    <col min="14" max="256" width="8.875" style="1244"/>
    <col min="257" max="257" width="4.875" style="1235" customWidth="1"/>
    <col min="258" max="258" width="13.125" style="1235" customWidth="1"/>
    <col min="259" max="259" width="15.625" style="1235" customWidth="1"/>
    <col min="260" max="260" width="9.375" style="1235" bestFit="1" customWidth="1"/>
    <col min="261" max="261" width="13.5" style="1235" customWidth="1"/>
    <col min="262" max="262" width="8.875" style="1235"/>
    <col min="263" max="263" width="9.375" style="1235" bestFit="1" customWidth="1"/>
    <col min="264" max="265" width="8.875" style="1235"/>
    <col min="266" max="266" width="9.375" style="1235" bestFit="1" customWidth="1"/>
    <col min="267" max="267" width="4" style="1235" customWidth="1"/>
    <col min="268" max="268" width="5.125" style="1235" customWidth="1"/>
    <col min="269" max="269" width="13.875" style="1235" customWidth="1"/>
    <col min="270" max="512" width="8.875" style="1235"/>
    <col min="513" max="513" width="4.875" style="1235" customWidth="1"/>
    <col min="514" max="514" width="13.125" style="1235" customWidth="1"/>
    <col min="515" max="515" width="15.625" style="1235" customWidth="1"/>
    <col min="516" max="516" width="9.375" style="1235" bestFit="1" customWidth="1"/>
    <col min="517" max="517" width="13.5" style="1235" customWidth="1"/>
    <col min="518" max="518" width="8.875" style="1235"/>
    <col min="519" max="519" width="9.375" style="1235" bestFit="1" customWidth="1"/>
    <col min="520" max="521" width="8.875" style="1235"/>
    <col min="522" max="522" width="9.375" style="1235" bestFit="1" customWidth="1"/>
    <col min="523" max="523" width="4" style="1235" customWidth="1"/>
    <col min="524" max="524" width="5.125" style="1235" customWidth="1"/>
    <col min="525" max="525" width="13.875" style="1235" customWidth="1"/>
    <col min="526" max="768" width="8.875" style="1235"/>
    <col min="769" max="769" width="4.875" style="1235" customWidth="1"/>
    <col min="770" max="770" width="13.125" style="1235" customWidth="1"/>
    <col min="771" max="771" width="15.625" style="1235" customWidth="1"/>
    <col min="772" max="772" width="9.375" style="1235" bestFit="1" customWidth="1"/>
    <col min="773" max="773" width="13.5" style="1235" customWidth="1"/>
    <col min="774" max="774" width="8.875" style="1235"/>
    <col min="775" max="775" width="9.375" style="1235" bestFit="1" customWidth="1"/>
    <col min="776" max="777" width="8.875" style="1235"/>
    <col min="778" max="778" width="9.375" style="1235" bestFit="1" customWidth="1"/>
    <col min="779" max="779" width="4" style="1235" customWidth="1"/>
    <col min="780" max="780" width="5.125" style="1235" customWidth="1"/>
    <col min="781" max="781" width="13.875" style="1235" customWidth="1"/>
    <col min="782" max="1024" width="8.875" style="1235"/>
    <col min="1025" max="1025" width="4.875" style="1235" customWidth="1"/>
    <col min="1026" max="1026" width="13.125" style="1235" customWidth="1"/>
    <col min="1027" max="1027" width="15.625" style="1235" customWidth="1"/>
    <col min="1028" max="1028" width="9.375" style="1235" bestFit="1" customWidth="1"/>
    <col min="1029" max="1029" width="13.5" style="1235" customWidth="1"/>
    <col min="1030" max="1030" width="8.875" style="1235"/>
    <col min="1031" max="1031" width="9.375" style="1235" bestFit="1" customWidth="1"/>
    <col min="1032" max="1033" width="8.875" style="1235"/>
    <col min="1034" max="1034" width="9.375" style="1235" bestFit="1" customWidth="1"/>
    <col min="1035" max="1035" width="4" style="1235" customWidth="1"/>
    <col min="1036" max="1036" width="5.125" style="1235" customWidth="1"/>
    <col min="1037" max="1037" width="13.875" style="1235" customWidth="1"/>
    <col min="1038" max="1280" width="8.875" style="1235"/>
    <col min="1281" max="1281" width="4.875" style="1235" customWidth="1"/>
    <col min="1282" max="1282" width="13.125" style="1235" customWidth="1"/>
    <col min="1283" max="1283" width="15.625" style="1235" customWidth="1"/>
    <col min="1284" max="1284" width="9.375" style="1235" bestFit="1" customWidth="1"/>
    <col min="1285" max="1285" width="13.5" style="1235" customWidth="1"/>
    <col min="1286" max="1286" width="8.875" style="1235"/>
    <col min="1287" max="1287" width="9.375" style="1235" bestFit="1" customWidth="1"/>
    <col min="1288" max="1289" width="8.875" style="1235"/>
    <col min="1290" max="1290" width="9.375" style="1235" bestFit="1" customWidth="1"/>
    <col min="1291" max="1291" width="4" style="1235" customWidth="1"/>
    <col min="1292" max="1292" width="5.125" style="1235" customWidth="1"/>
    <col min="1293" max="1293" width="13.875" style="1235" customWidth="1"/>
    <col min="1294" max="1536" width="8.875" style="1235"/>
    <col min="1537" max="1537" width="4.875" style="1235" customWidth="1"/>
    <col min="1538" max="1538" width="13.125" style="1235" customWidth="1"/>
    <col min="1539" max="1539" width="15.625" style="1235" customWidth="1"/>
    <col min="1540" max="1540" width="9.375" style="1235" bestFit="1" customWidth="1"/>
    <col min="1541" max="1541" width="13.5" style="1235" customWidth="1"/>
    <col min="1542" max="1542" width="8.875" style="1235"/>
    <col min="1543" max="1543" width="9.375" style="1235" bestFit="1" customWidth="1"/>
    <col min="1544" max="1545" width="8.875" style="1235"/>
    <col min="1546" max="1546" width="9.375" style="1235" bestFit="1" customWidth="1"/>
    <col min="1547" max="1547" width="4" style="1235" customWidth="1"/>
    <col min="1548" max="1548" width="5.125" style="1235" customWidth="1"/>
    <col min="1549" max="1549" width="13.875" style="1235" customWidth="1"/>
    <col min="1550" max="1792" width="8.875" style="1235"/>
    <col min="1793" max="1793" width="4.875" style="1235" customWidth="1"/>
    <col min="1794" max="1794" width="13.125" style="1235" customWidth="1"/>
    <col min="1795" max="1795" width="15.625" style="1235" customWidth="1"/>
    <col min="1796" max="1796" width="9.375" style="1235" bestFit="1" customWidth="1"/>
    <col min="1797" max="1797" width="13.5" style="1235" customWidth="1"/>
    <col min="1798" max="1798" width="8.875" style="1235"/>
    <col min="1799" max="1799" width="9.375" style="1235" bestFit="1" customWidth="1"/>
    <col min="1800" max="1801" width="8.875" style="1235"/>
    <col min="1802" max="1802" width="9.375" style="1235" bestFit="1" customWidth="1"/>
    <col min="1803" max="1803" width="4" style="1235" customWidth="1"/>
    <col min="1804" max="1804" width="5.125" style="1235" customWidth="1"/>
    <col min="1805" max="1805" width="13.875" style="1235" customWidth="1"/>
    <col min="1806" max="2048" width="8.875" style="1235"/>
    <col min="2049" max="2049" width="4.875" style="1235" customWidth="1"/>
    <col min="2050" max="2050" width="13.125" style="1235" customWidth="1"/>
    <col min="2051" max="2051" width="15.625" style="1235" customWidth="1"/>
    <col min="2052" max="2052" width="9.375" style="1235" bestFit="1" customWidth="1"/>
    <col min="2053" max="2053" width="13.5" style="1235" customWidth="1"/>
    <col min="2054" max="2054" width="8.875" style="1235"/>
    <col min="2055" max="2055" width="9.375" style="1235" bestFit="1" customWidth="1"/>
    <col min="2056" max="2057" width="8.875" style="1235"/>
    <col min="2058" max="2058" width="9.375" style="1235" bestFit="1" customWidth="1"/>
    <col min="2059" max="2059" width="4" style="1235" customWidth="1"/>
    <col min="2060" max="2060" width="5.125" style="1235" customWidth="1"/>
    <col min="2061" max="2061" width="13.875" style="1235" customWidth="1"/>
    <col min="2062" max="2304" width="8.875" style="1235"/>
    <col min="2305" max="2305" width="4.875" style="1235" customWidth="1"/>
    <col min="2306" max="2306" width="13.125" style="1235" customWidth="1"/>
    <col min="2307" max="2307" width="15.625" style="1235" customWidth="1"/>
    <col min="2308" max="2308" width="9.375" style="1235" bestFit="1" customWidth="1"/>
    <col min="2309" max="2309" width="13.5" style="1235" customWidth="1"/>
    <col min="2310" max="2310" width="8.875" style="1235"/>
    <col min="2311" max="2311" width="9.375" style="1235" bestFit="1" customWidth="1"/>
    <col min="2312" max="2313" width="8.875" style="1235"/>
    <col min="2314" max="2314" width="9.375" style="1235" bestFit="1" customWidth="1"/>
    <col min="2315" max="2315" width="4" style="1235" customWidth="1"/>
    <col min="2316" max="2316" width="5.125" style="1235" customWidth="1"/>
    <col min="2317" max="2317" width="13.875" style="1235" customWidth="1"/>
    <col min="2318" max="2560" width="8.875" style="1235"/>
    <col min="2561" max="2561" width="4.875" style="1235" customWidth="1"/>
    <col min="2562" max="2562" width="13.125" style="1235" customWidth="1"/>
    <col min="2563" max="2563" width="15.625" style="1235" customWidth="1"/>
    <col min="2564" max="2564" width="9.375" style="1235" bestFit="1" customWidth="1"/>
    <col min="2565" max="2565" width="13.5" style="1235" customWidth="1"/>
    <col min="2566" max="2566" width="8.875" style="1235"/>
    <col min="2567" max="2567" width="9.375" style="1235" bestFit="1" customWidth="1"/>
    <col min="2568" max="2569" width="8.875" style="1235"/>
    <col min="2570" max="2570" width="9.375" style="1235" bestFit="1" customWidth="1"/>
    <col min="2571" max="2571" width="4" style="1235" customWidth="1"/>
    <col min="2572" max="2572" width="5.125" style="1235" customWidth="1"/>
    <col min="2573" max="2573" width="13.875" style="1235" customWidth="1"/>
    <col min="2574" max="2816" width="8.875" style="1235"/>
    <col min="2817" max="2817" width="4.875" style="1235" customWidth="1"/>
    <col min="2818" max="2818" width="13.125" style="1235" customWidth="1"/>
    <col min="2819" max="2819" width="15.625" style="1235" customWidth="1"/>
    <col min="2820" max="2820" width="9.375" style="1235" bestFit="1" customWidth="1"/>
    <col min="2821" max="2821" width="13.5" style="1235" customWidth="1"/>
    <col min="2822" max="2822" width="8.875" style="1235"/>
    <col min="2823" max="2823" width="9.375" style="1235" bestFit="1" customWidth="1"/>
    <col min="2824" max="2825" width="8.875" style="1235"/>
    <col min="2826" max="2826" width="9.375" style="1235" bestFit="1" customWidth="1"/>
    <col min="2827" max="2827" width="4" style="1235" customWidth="1"/>
    <col min="2828" max="2828" width="5.125" style="1235" customWidth="1"/>
    <col min="2829" max="2829" width="13.875" style="1235" customWidth="1"/>
    <col min="2830" max="3072" width="8.875" style="1235"/>
    <col min="3073" max="3073" width="4.875" style="1235" customWidth="1"/>
    <col min="3074" max="3074" width="13.125" style="1235" customWidth="1"/>
    <col min="3075" max="3075" width="15.625" style="1235" customWidth="1"/>
    <col min="3076" max="3076" width="9.375" style="1235" bestFit="1" customWidth="1"/>
    <col min="3077" max="3077" width="13.5" style="1235" customWidth="1"/>
    <col min="3078" max="3078" width="8.875" style="1235"/>
    <col min="3079" max="3079" width="9.375" style="1235" bestFit="1" customWidth="1"/>
    <col min="3080" max="3081" width="8.875" style="1235"/>
    <col min="3082" max="3082" width="9.375" style="1235" bestFit="1" customWidth="1"/>
    <col min="3083" max="3083" width="4" style="1235" customWidth="1"/>
    <col min="3084" max="3084" width="5.125" style="1235" customWidth="1"/>
    <col min="3085" max="3085" width="13.875" style="1235" customWidth="1"/>
    <col min="3086" max="3328" width="8.875" style="1235"/>
    <col min="3329" max="3329" width="4.875" style="1235" customWidth="1"/>
    <col min="3330" max="3330" width="13.125" style="1235" customWidth="1"/>
    <col min="3331" max="3331" width="15.625" style="1235" customWidth="1"/>
    <col min="3332" max="3332" width="9.375" style="1235" bestFit="1" customWidth="1"/>
    <col min="3333" max="3333" width="13.5" style="1235" customWidth="1"/>
    <col min="3334" max="3334" width="8.875" style="1235"/>
    <col min="3335" max="3335" width="9.375" style="1235" bestFit="1" customWidth="1"/>
    <col min="3336" max="3337" width="8.875" style="1235"/>
    <col min="3338" max="3338" width="9.375" style="1235" bestFit="1" customWidth="1"/>
    <col min="3339" max="3339" width="4" style="1235" customWidth="1"/>
    <col min="3340" max="3340" width="5.125" style="1235" customWidth="1"/>
    <col min="3341" max="3341" width="13.875" style="1235" customWidth="1"/>
    <col min="3342" max="3584" width="8.875" style="1235"/>
    <col min="3585" max="3585" width="4.875" style="1235" customWidth="1"/>
    <col min="3586" max="3586" width="13.125" style="1235" customWidth="1"/>
    <col min="3587" max="3587" width="15.625" style="1235" customWidth="1"/>
    <col min="3588" max="3588" width="9.375" style="1235" bestFit="1" customWidth="1"/>
    <col min="3589" max="3589" width="13.5" style="1235" customWidth="1"/>
    <col min="3590" max="3590" width="8.875" style="1235"/>
    <col min="3591" max="3591" width="9.375" style="1235" bestFit="1" customWidth="1"/>
    <col min="3592" max="3593" width="8.875" style="1235"/>
    <col min="3594" max="3594" width="9.375" style="1235" bestFit="1" customWidth="1"/>
    <col min="3595" max="3595" width="4" style="1235" customWidth="1"/>
    <col min="3596" max="3596" width="5.125" style="1235" customWidth="1"/>
    <col min="3597" max="3597" width="13.875" style="1235" customWidth="1"/>
    <col min="3598" max="3840" width="8.875" style="1235"/>
    <col min="3841" max="3841" width="4.875" style="1235" customWidth="1"/>
    <col min="3842" max="3842" width="13.125" style="1235" customWidth="1"/>
    <col min="3843" max="3843" width="15.625" style="1235" customWidth="1"/>
    <col min="3844" max="3844" width="9.375" style="1235" bestFit="1" customWidth="1"/>
    <col min="3845" max="3845" width="13.5" style="1235" customWidth="1"/>
    <col min="3846" max="3846" width="8.875" style="1235"/>
    <col min="3847" max="3847" width="9.375" style="1235" bestFit="1" customWidth="1"/>
    <col min="3848" max="3849" width="8.875" style="1235"/>
    <col min="3850" max="3850" width="9.375" style="1235" bestFit="1" customWidth="1"/>
    <col min="3851" max="3851" width="4" style="1235" customWidth="1"/>
    <col min="3852" max="3852" width="5.125" style="1235" customWidth="1"/>
    <col min="3853" max="3853" width="13.875" style="1235" customWidth="1"/>
    <col min="3854" max="4096" width="8.875" style="1235"/>
    <col min="4097" max="4097" width="4.875" style="1235" customWidth="1"/>
    <col min="4098" max="4098" width="13.125" style="1235" customWidth="1"/>
    <col min="4099" max="4099" width="15.625" style="1235" customWidth="1"/>
    <col min="4100" max="4100" width="9.375" style="1235" bestFit="1" customWidth="1"/>
    <col min="4101" max="4101" width="13.5" style="1235" customWidth="1"/>
    <col min="4102" max="4102" width="8.875" style="1235"/>
    <col min="4103" max="4103" width="9.375" style="1235" bestFit="1" customWidth="1"/>
    <col min="4104" max="4105" width="8.875" style="1235"/>
    <col min="4106" max="4106" width="9.375" style="1235" bestFit="1" customWidth="1"/>
    <col min="4107" max="4107" width="4" style="1235" customWidth="1"/>
    <col min="4108" max="4108" width="5.125" style="1235" customWidth="1"/>
    <col min="4109" max="4109" width="13.875" style="1235" customWidth="1"/>
    <col min="4110" max="4352" width="8.875" style="1235"/>
    <col min="4353" max="4353" width="4.875" style="1235" customWidth="1"/>
    <col min="4354" max="4354" width="13.125" style="1235" customWidth="1"/>
    <col min="4355" max="4355" width="15.625" style="1235" customWidth="1"/>
    <col min="4356" max="4356" width="9.375" style="1235" bestFit="1" customWidth="1"/>
    <col min="4357" max="4357" width="13.5" style="1235" customWidth="1"/>
    <col min="4358" max="4358" width="8.875" style="1235"/>
    <col min="4359" max="4359" width="9.375" style="1235" bestFit="1" customWidth="1"/>
    <col min="4360" max="4361" width="8.875" style="1235"/>
    <col min="4362" max="4362" width="9.375" style="1235" bestFit="1" customWidth="1"/>
    <col min="4363" max="4363" width="4" style="1235" customWidth="1"/>
    <col min="4364" max="4364" width="5.125" style="1235" customWidth="1"/>
    <col min="4365" max="4365" width="13.875" style="1235" customWidth="1"/>
    <col min="4366" max="4608" width="8.875" style="1235"/>
    <col min="4609" max="4609" width="4.875" style="1235" customWidth="1"/>
    <col min="4610" max="4610" width="13.125" style="1235" customWidth="1"/>
    <col min="4611" max="4611" width="15.625" style="1235" customWidth="1"/>
    <col min="4612" max="4612" width="9.375" style="1235" bestFit="1" customWidth="1"/>
    <col min="4613" max="4613" width="13.5" style="1235" customWidth="1"/>
    <col min="4614" max="4614" width="8.875" style="1235"/>
    <col min="4615" max="4615" width="9.375" style="1235" bestFit="1" customWidth="1"/>
    <col min="4616" max="4617" width="8.875" style="1235"/>
    <col min="4618" max="4618" width="9.375" style="1235" bestFit="1" customWidth="1"/>
    <col min="4619" max="4619" width="4" style="1235" customWidth="1"/>
    <col min="4620" max="4620" width="5.125" style="1235" customWidth="1"/>
    <col min="4621" max="4621" width="13.875" style="1235" customWidth="1"/>
    <col min="4622" max="4864" width="8.875" style="1235"/>
    <col min="4865" max="4865" width="4.875" style="1235" customWidth="1"/>
    <col min="4866" max="4866" width="13.125" style="1235" customWidth="1"/>
    <col min="4867" max="4867" width="15.625" style="1235" customWidth="1"/>
    <col min="4868" max="4868" width="9.375" style="1235" bestFit="1" customWidth="1"/>
    <col min="4869" max="4869" width="13.5" style="1235" customWidth="1"/>
    <col min="4870" max="4870" width="8.875" style="1235"/>
    <col min="4871" max="4871" width="9.375" style="1235" bestFit="1" customWidth="1"/>
    <col min="4872" max="4873" width="8.875" style="1235"/>
    <col min="4874" max="4874" width="9.375" style="1235" bestFit="1" customWidth="1"/>
    <col min="4875" max="4875" width="4" style="1235" customWidth="1"/>
    <col min="4876" max="4876" width="5.125" style="1235" customWidth="1"/>
    <col min="4877" max="4877" width="13.875" style="1235" customWidth="1"/>
    <col min="4878" max="5120" width="8.875" style="1235"/>
    <col min="5121" max="5121" width="4.875" style="1235" customWidth="1"/>
    <col min="5122" max="5122" width="13.125" style="1235" customWidth="1"/>
    <col min="5123" max="5123" width="15.625" style="1235" customWidth="1"/>
    <col min="5124" max="5124" width="9.375" style="1235" bestFit="1" customWidth="1"/>
    <col min="5125" max="5125" width="13.5" style="1235" customWidth="1"/>
    <col min="5126" max="5126" width="8.875" style="1235"/>
    <col min="5127" max="5127" width="9.375" style="1235" bestFit="1" customWidth="1"/>
    <col min="5128" max="5129" width="8.875" style="1235"/>
    <col min="5130" max="5130" width="9.375" style="1235" bestFit="1" customWidth="1"/>
    <col min="5131" max="5131" width="4" style="1235" customWidth="1"/>
    <col min="5132" max="5132" width="5.125" style="1235" customWidth="1"/>
    <col min="5133" max="5133" width="13.875" style="1235" customWidth="1"/>
    <col min="5134" max="5376" width="8.875" style="1235"/>
    <col min="5377" max="5377" width="4.875" style="1235" customWidth="1"/>
    <col min="5378" max="5378" width="13.125" style="1235" customWidth="1"/>
    <col min="5379" max="5379" width="15.625" style="1235" customWidth="1"/>
    <col min="5380" max="5380" width="9.375" style="1235" bestFit="1" customWidth="1"/>
    <col min="5381" max="5381" width="13.5" style="1235" customWidth="1"/>
    <col min="5382" max="5382" width="8.875" style="1235"/>
    <col min="5383" max="5383" width="9.375" style="1235" bestFit="1" customWidth="1"/>
    <col min="5384" max="5385" width="8.875" style="1235"/>
    <col min="5386" max="5386" width="9.375" style="1235" bestFit="1" customWidth="1"/>
    <col min="5387" max="5387" width="4" style="1235" customWidth="1"/>
    <col min="5388" max="5388" width="5.125" style="1235" customWidth="1"/>
    <col min="5389" max="5389" width="13.875" style="1235" customWidth="1"/>
    <col min="5390" max="5632" width="8.875" style="1235"/>
    <col min="5633" max="5633" width="4.875" style="1235" customWidth="1"/>
    <col min="5634" max="5634" width="13.125" style="1235" customWidth="1"/>
    <col min="5635" max="5635" width="15.625" style="1235" customWidth="1"/>
    <col min="5636" max="5636" width="9.375" style="1235" bestFit="1" customWidth="1"/>
    <col min="5637" max="5637" width="13.5" style="1235" customWidth="1"/>
    <col min="5638" max="5638" width="8.875" style="1235"/>
    <col min="5639" max="5639" width="9.375" style="1235" bestFit="1" customWidth="1"/>
    <col min="5640" max="5641" width="8.875" style="1235"/>
    <col min="5642" max="5642" width="9.375" style="1235" bestFit="1" customWidth="1"/>
    <col min="5643" max="5643" width="4" style="1235" customWidth="1"/>
    <col min="5644" max="5644" width="5.125" style="1235" customWidth="1"/>
    <col min="5645" max="5645" width="13.875" style="1235" customWidth="1"/>
    <col min="5646" max="5888" width="8.875" style="1235"/>
    <col min="5889" max="5889" width="4.875" style="1235" customWidth="1"/>
    <col min="5890" max="5890" width="13.125" style="1235" customWidth="1"/>
    <col min="5891" max="5891" width="15.625" style="1235" customWidth="1"/>
    <col min="5892" max="5892" width="9.375" style="1235" bestFit="1" customWidth="1"/>
    <col min="5893" max="5893" width="13.5" style="1235" customWidth="1"/>
    <col min="5894" max="5894" width="8.875" style="1235"/>
    <col min="5895" max="5895" width="9.375" style="1235" bestFit="1" customWidth="1"/>
    <col min="5896" max="5897" width="8.875" style="1235"/>
    <col min="5898" max="5898" width="9.375" style="1235" bestFit="1" customWidth="1"/>
    <col min="5899" max="5899" width="4" style="1235" customWidth="1"/>
    <col min="5900" max="5900" width="5.125" style="1235" customWidth="1"/>
    <col min="5901" max="5901" width="13.875" style="1235" customWidth="1"/>
    <col min="5902" max="6144" width="8.875" style="1235"/>
    <col min="6145" max="6145" width="4.875" style="1235" customWidth="1"/>
    <col min="6146" max="6146" width="13.125" style="1235" customWidth="1"/>
    <col min="6147" max="6147" width="15.625" style="1235" customWidth="1"/>
    <col min="6148" max="6148" width="9.375" style="1235" bestFit="1" customWidth="1"/>
    <col min="6149" max="6149" width="13.5" style="1235" customWidth="1"/>
    <col min="6150" max="6150" width="8.875" style="1235"/>
    <col min="6151" max="6151" width="9.375" style="1235" bestFit="1" customWidth="1"/>
    <col min="6152" max="6153" width="8.875" style="1235"/>
    <col min="6154" max="6154" width="9.375" style="1235" bestFit="1" customWidth="1"/>
    <col min="6155" max="6155" width="4" style="1235" customWidth="1"/>
    <col min="6156" max="6156" width="5.125" style="1235" customWidth="1"/>
    <col min="6157" max="6157" width="13.875" style="1235" customWidth="1"/>
    <col min="6158" max="6400" width="8.875" style="1235"/>
    <col min="6401" max="6401" width="4.875" style="1235" customWidth="1"/>
    <col min="6402" max="6402" width="13.125" style="1235" customWidth="1"/>
    <col min="6403" max="6403" width="15.625" style="1235" customWidth="1"/>
    <col min="6404" max="6404" width="9.375" style="1235" bestFit="1" customWidth="1"/>
    <col min="6405" max="6405" width="13.5" style="1235" customWidth="1"/>
    <col min="6406" max="6406" width="8.875" style="1235"/>
    <col min="6407" max="6407" width="9.375" style="1235" bestFit="1" customWidth="1"/>
    <col min="6408" max="6409" width="8.875" style="1235"/>
    <col min="6410" max="6410" width="9.375" style="1235" bestFit="1" customWidth="1"/>
    <col min="6411" max="6411" width="4" style="1235" customWidth="1"/>
    <col min="6412" max="6412" width="5.125" style="1235" customWidth="1"/>
    <col min="6413" max="6413" width="13.875" style="1235" customWidth="1"/>
    <col min="6414" max="6656" width="8.875" style="1235"/>
    <col min="6657" max="6657" width="4.875" style="1235" customWidth="1"/>
    <col min="6658" max="6658" width="13.125" style="1235" customWidth="1"/>
    <col min="6659" max="6659" width="15.625" style="1235" customWidth="1"/>
    <col min="6660" max="6660" width="9.375" style="1235" bestFit="1" customWidth="1"/>
    <col min="6661" max="6661" width="13.5" style="1235" customWidth="1"/>
    <col min="6662" max="6662" width="8.875" style="1235"/>
    <col min="6663" max="6663" width="9.375" style="1235" bestFit="1" customWidth="1"/>
    <col min="6664" max="6665" width="8.875" style="1235"/>
    <col min="6666" max="6666" width="9.375" style="1235" bestFit="1" customWidth="1"/>
    <col min="6667" max="6667" width="4" style="1235" customWidth="1"/>
    <col min="6668" max="6668" width="5.125" style="1235" customWidth="1"/>
    <col min="6669" max="6669" width="13.875" style="1235" customWidth="1"/>
    <col min="6670" max="6912" width="8.875" style="1235"/>
    <col min="6913" max="6913" width="4.875" style="1235" customWidth="1"/>
    <col min="6914" max="6914" width="13.125" style="1235" customWidth="1"/>
    <col min="6915" max="6915" width="15.625" style="1235" customWidth="1"/>
    <col min="6916" max="6916" width="9.375" style="1235" bestFit="1" customWidth="1"/>
    <col min="6917" max="6917" width="13.5" style="1235" customWidth="1"/>
    <col min="6918" max="6918" width="8.875" style="1235"/>
    <col min="6919" max="6919" width="9.375" style="1235" bestFit="1" customWidth="1"/>
    <col min="6920" max="6921" width="8.875" style="1235"/>
    <col min="6922" max="6922" width="9.375" style="1235" bestFit="1" customWidth="1"/>
    <col min="6923" max="6923" width="4" style="1235" customWidth="1"/>
    <col min="6924" max="6924" width="5.125" style="1235" customWidth="1"/>
    <col min="6925" max="6925" width="13.875" style="1235" customWidth="1"/>
    <col min="6926" max="7168" width="8.875" style="1235"/>
    <col min="7169" max="7169" width="4.875" style="1235" customWidth="1"/>
    <col min="7170" max="7170" width="13.125" style="1235" customWidth="1"/>
    <col min="7171" max="7171" width="15.625" style="1235" customWidth="1"/>
    <col min="7172" max="7172" width="9.375" style="1235" bestFit="1" customWidth="1"/>
    <col min="7173" max="7173" width="13.5" style="1235" customWidth="1"/>
    <col min="7174" max="7174" width="8.875" style="1235"/>
    <col min="7175" max="7175" width="9.375" style="1235" bestFit="1" customWidth="1"/>
    <col min="7176" max="7177" width="8.875" style="1235"/>
    <col min="7178" max="7178" width="9.375" style="1235" bestFit="1" customWidth="1"/>
    <col min="7179" max="7179" width="4" style="1235" customWidth="1"/>
    <col min="7180" max="7180" width="5.125" style="1235" customWidth="1"/>
    <col min="7181" max="7181" width="13.875" style="1235" customWidth="1"/>
    <col min="7182" max="7424" width="8.875" style="1235"/>
    <col min="7425" max="7425" width="4.875" style="1235" customWidth="1"/>
    <col min="7426" max="7426" width="13.125" style="1235" customWidth="1"/>
    <col min="7427" max="7427" width="15.625" style="1235" customWidth="1"/>
    <col min="7428" max="7428" width="9.375" style="1235" bestFit="1" customWidth="1"/>
    <col min="7429" max="7429" width="13.5" style="1235" customWidth="1"/>
    <col min="7430" max="7430" width="8.875" style="1235"/>
    <col min="7431" max="7431" width="9.375" style="1235" bestFit="1" customWidth="1"/>
    <col min="7432" max="7433" width="8.875" style="1235"/>
    <col min="7434" max="7434" width="9.375" style="1235" bestFit="1" customWidth="1"/>
    <col min="7435" max="7435" width="4" style="1235" customWidth="1"/>
    <col min="7436" max="7436" width="5.125" style="1235" customWidth="1"/>
    <col min="7437" max="7437" width="13.875" style="1235" customWidth="1"/>
    <col min="7438" max="7680" width="8.875" style="1235"/>
    <col min="7681" max="7681" width="4.875" style="1235" customWidth="1"/>
    <col min="7682" max="7682" width="13.125" style="1235" customWidth="1"/>
    <col min="7683" max="7683" width="15.625" style="1235" customWidth="1"/>
    <col min="7684" max="7684" width="9.375" style="1235" bestFit="1" customWidth="1"/>
    <col min="7685" max="7685" width="13.5" style="1235" customWidth="1"/>
    <col min="7686" max="7686" width="8.875" style="1235"/>
    <col min="7687" max="7687" width="9.375" style="1235" bestFit="1" customWidth="1"/>
    <col min="7688" max="7689" width="8.875" style="1235"/>
    <col min="7690" max="7690" width="9.375" style="1235" bestFit="1" customWidth="1"/>
    <col min="7691" max="7691" width="4" style="1235" customWidth="1"/>
    <col min="7692" max="7692" width="5.125" style="1235" customWidth="1"/>
    <col min="7693" max="7693" width="13.875" style="1235" customWidth="1"/>
    <col min="7694" max="7936" width="8.875" style="1235"/>
    <col min="7937" max="7937" width="4.875" style="1235" customWidth="1"/>
    <col min="7938" max="7938" width="13.125" style="1235" customWidth="1"/>
    <col min="7939" max="7939" width="15.625" style="1235" customWidth="1"/>
    <col min="7940" max="7940" width="9.375" style="1235" bestFit="1" customWidth="1"/>
    <col min="7941" max="7941" width="13.5" style="1235" customWidth="1"/>
    <col min="7942" max="7942" width="8.875" style="1235"/>
    <col min="7943" max="7943" width="9.375" style="1235" bestFit="1" customWidth="1"/>
    <col min="7944" max="7945" width="8.875" style="1235"/>
    <col min="7946" max="7946" width="9.375" style="1235" bestFit="1" customWidth="1"/>
    <col min="7947" max="7947" width="4" style="1235" customWidth="1"/>
    <col min="7948" max="7948" width="5.125" style="1235" customWidth="1"/>
    <col min="7949" max="7949" width="13.875" style="1235" customWidth="1"/>
    <col min="7950" max="8192" width="8.875" style="1235"/>
    <col min="8193" max="8193" width="4.875" style="1235" customWidth="1"/>
    <col min="8194" max="8194" width="13.125" style="1235" customWidth="1"/>
    <col min="8195" max="8195" width="15.625" style="1235" customWidth="1"/>
    <col min="8196" max="8196" width="9.375" style="1235" bestFit="1" customWidth="1"/>
    <col min="8197" max="8197" width="13.5" style="1235" customWidth="1"/>
    <col min="8198" max="8198" width="8.875" style="1235"/>
    <col min="8199" max="8199" width="9.375" style="1235" bestFit="1" customWidth="1"/>
    <col min="8200" max="8201" width="8.875" style="1235"/>
    <col min="8202" max="8202" width="9.375" style="1235" bestFit="1" customWidth="1"/>
    <col min="8203" max="8203" width="4" style="1235" customWidth="1"/>
    <col min="8204" max="8204" width="5.125" style="1235" customWidth="1"/>
    <col min="8205" max="8205" width="13.875" style="1235" customWidth="1"/>
    <col min="8206" max="8448" width="8.875" style="1235"/>
    <col min="8449" max="8449" width="4.875" style="1235" customWidth="1"/>
    <col min="8450" max="8450" width="13.125" style="1235" customWidth="1"/>
    <col min="8451" max="8451" width="15.625" style="1235" customWidth="1"/>
    <col min="8452" max="8452" width="9.375" style="1235" bestFit="1" customWidth="1"/>
    <col min="8453" max="8453" width="13.5" style="1235" customWidth="1"/>
    <col min="8454" max="8454" width="8.875" style="1235"/>
    <col min="8455" max="8455" width="9.375" style="1235" bestFit="1" customWidth="1"/>
    <col min="8456" max="8457" width="8.875" style="1235"/>
    <col min="8458" max="8458" width="9.375" style="1235" bestFit="1" customWidth="1"/>
    <col min="8459" max="8459" width="4" style="1235" customWidth="1"/>
    <col min="8460" max="8460" width="5.125" style="1235" customWidth="1"/>
    <col min="8461" max="8461" width="13.875" style="1235" customWidth="1"/>
    <col min="8462" max="8704" width="8.875" style="1235"/>
    <col min="8705" max="8705" width="4.875" style="1235" customWidth="1"/>
    <col min="8706" max="8706" width="13.125" style="1235" customWidth="1"/>
    <col min="8707" max="8707" width="15.625" style="1235" customWidth="1"/>
    <col min="8708" max="8708" width="9.375" style="1235" bestFit="1" customWidth="1"/>
    <col min="8709" max="8709" width="13.5" style="1235" customWidth="1"/>
    <col min="8710" max="8710" width="8.875" style="1235"/>
    <col min="8711" max="8711" width="9.375" style="1235" bestFit="1" customWidth="1"/>
    <col min="8712" max="8713" width="8.875" style="1235"/>
    <col min="8714" max="8714" width="9.375" style="1235" bestFit="1" customWidth="1"/>
    <col min="8715" max="8715" width="4" style="1235" customWidth="1"/>
    <col min="8716" max="8716" width="5.125" style="1235" customWidth="1"/>
    <col min="8717" max="8717" width="13.875" style="1235" customWidth="1"/>
    <col min="8718" max="8960" width="8.875" style="1235"/>
    <col min="8961" max="8961" width="4.875" style="1235" customWidth="1"/>
    <col min="8962" max="8962" width="13.125" style="1235" customWidth="1"/>
    <col min="8963" max="8963" width="15.625" style="1235" customWidth="1"/>
    <col min="8964" max="8964" width="9.375" style="1235" bestFit="1" customWidth="1"/>
    <col min="8965" max="8965" width="13.5" style="1235" customWidth="1"/>
    <col min="8966" max="8966" width="8.875" style="1235"/>
    <col min="8967" max="8967" width="9.375" style="1235" bestFit="1" customWidth="1"/>
    <col min="8968" max="8969" width="8.875" style="1235"/>
    <col min="8970" max="8970" width="9.375" style="1235" bestFit="1" customWidth="1"/>
    <col min="8971" max="8971" width="4" style="1235" customWidth="1"/>
    <col min="8972" max="8972" width="5.125" style="1235" customWidth="1"/>
    <col min="8973" max="8973" width="13.875" style="1235" customWidth="1"/>
    <col min="8974" max="9216" width="8.875" style="1235"/>
    <col min="9217" max="9217" width="4.875" style="1235" customWidth="1"/>
    <col min="9218" max="9218" width="13.125" style="1235" customWidth="1"/>
    <col min="9219" max="9219" width="15.625" style="1235" customWidth="1"/>
    <col min="9220" max="9220" width="9.375" style="1235" bestFit="1" customWidth="1"/>
    <col min="9221" max="9221" width="13.5" style="1235" customWidth="1"/>
    <col min="9222" max="9222" width="8.875" style="1235"/>
    <col min="9223" max="9223" width="9.375" style="1235" bestFit="1" customWidth="1"/>
    <col min="9224" max="9225" width="8.875" style="1235"/>
    <col min="9226" max="9226" width="9.375" style="1235" bestFit="1" customWidth="1"/>
    <col min="9227" max="9227" width="4" style="1235" customWidth="1"/>
    <col min="9228" max="9228" width="5.125" style="1235" customWidth="1"/>
    <col min="9229" max="9229" width="13.875" style="1235" customWidth="1"/>
    <col min="9230" max="9472" width="8.875" style="1235"/>
    <col min="9473" max="9473" width="4.875" style="1235" customWidth="1"/>
    <col min="9474" max="9474" width="13.125" style="1235" customWidth="1"/>
    <col min="9475" max="9475" width="15.625" style="1235" customWidth="1"/>
    <col min="9476" max="9476" width="9.375" style="1235" bestFit="1" customWidth="1"/>
    <col min="9477" max="9477" width="13.5" style="1235" customWidth="1"/>
    <col min="9478" max="9478" width="8.875" style="1235"/>
    <col min="9479" max="9479" width="9.375" style="1235" bestFit="1" customWidth="1"/>
    <col min="9480" max="9481" width="8.875" style="1235"/>
    <col min="9482" max="9482" width="9.375" style="1235" bestFit="1" customWidth="1"/>
    <col min="9483" max="9483" width="4" style="1235" customWidth="1"/>
    <col min="9484" max="9484" width="5.125" style="1235" customWidth="1"/>
    <col min="9485" max="9485" width="13.875" style="1235" customWidth="1"/>
    <col min="9486" max="9728" width="8.875" style="1235"/>
    <col min="9729" max="9729" width="4.875" style="1235" customWidth="1"/>
    <col min="9730" max="9730" width="13.125" style="1235" customWidth="1"/>
    <col min="9731" max="9731" width="15.625" style="1235" customWidth="1"/>
    <col min="9732" max="9732" width="9.375" style="1235" bestFit="1" customWidth="1"/>
    <col min="9733" max="9733" width="13.5" style="1235" customWidth="1"/>
    <col min="9734" max="9734" width="8.875" style="1235"/>
    <col min="9735" max="9735" width="9.375" style="1235" bestFit="1" customWidth="1"/>
    <col min="9736" max="9737" width="8.875" style="1235"/>
    <col min="9738" max="9738" width="9.375" style="1235" bestFit="1" customWidth="1"/>
    <col min="9739" max="9739" width="4" style="1235" customWidth="1"/>
    <col min="9740" max="9740" width="5.125" style="1235" customWidth="1"/>
    <col min="9741" max="9741" width="13.875" style="1235" customWidth="1"/>
    <col min="9742" max="9984" width="8.875" style="1235"/>
    <col min="9985" max="9985" width="4.875" style="1235" customWidth="1"/>
    <col min="9986" max="9986" width="13.125" style="1235" customWidth="1"/>
    <col min="9987" max="9987" width="15.625" style="1235" customWidth="1"/>
    <col min="9988" max="9988" width="9.375" style="1235" bestFit="1" customWidth="1"/>
    <col min="9989" max="9989" width="13.5" style="1235" customWidth="1"/>
    <col min="9990" max="9990" width="8.875" style="1235"/>
    <col min="9991" max="9991" width="9.375" style="1235" bestFit="1" customWidth="1"/>
    <col min="9992" max="9993" width="8.875" style="1235"/>
    <col min="9994" max="9994" width="9.375" style="1235" bestFit="1" customWidth="1"/>
    <col min="9995" max="9995" width="4" style="1235" customWidth="1"/>
    <col min="9996" max="9996" width="5.125" style="1235" customWidth="1"/>
    <col min="9997" max="9997" width="13.875" style="1235" customWidth="1"/>
    <col min="9998" max="10240" width="8.875" style="1235"/>
    <col min="10241" max="10241" width="4.875" style="1235" customWidth="1"/>
    <col min="10242" max="10242" width="13.125" style="1235" customWidth="1"/>
    <col min="10243" max="10243" width="15.625" style="1235" customWidth="1"/>
    <col min="10244" max="10244" width="9.375" style="1235" bestFit="1" customWidth="1"/>
    <col min="10245" max="10245" width="13.5" style="1235" customWidth="1"/>
    <col min="10246" max="10246" width="8.875" style="1235"/>
    <col min="10247" max="10247" width="9.375" style="1235" bestFit="1" customWidth="1"/>
    <col min="10248" max="10249" width="8.875" style="1235"/>
    <col min="10250" max="10250" width="9.375" style="1235" bestFit="1" customWidth="1"/>
    <col min="10251" max="10251" width="4" style="1235" customWidth="1"/>
    <col min="10252" max="10252" width="5.125" style="1235" customWidth="1"/>
    <col min="10253" max="10253" width="13.875" style="1235" customWidth="1"/>
    <col min="10254" max="10496" width="8.875" style="1235"/>
    <col min="10497" max="10497" width="4.875" style="1235" customWidth="1"/>
    <col min="10498" max="10498" width="13.125" style="1235" customWidth="1"/>
    <col min="10499" max="10499" width="15.625" style="1235" customWidth="1"/>
    <col min="10500" max="10500" width="9.375" style="1235" bestFit="1" customWidth="1"/>
    <col min="10501" max="10501" width="13.5" style="1235" customWidth="1"/>
    <col min="10502" max="10502" width="8.875" style="1235"/>
    <col min="10503" max="10503" width="9.375" style="1235" bestFit="1" customWidth="1"/>
    <col min="10504" max="10505" width="8.875" style="1235"/>
    <col min="10506" max="10506" width="9.375" style="1235" bestFit="1" customWidth="1"/>
    <col min="10507" max="10507" width="4" style="1235" customWidth="1"/>
    <col min="10508" max="10508" width="5.125" style="1235" customWidth="1"/>
    <col min="10509" max="10509" width="13.875" style="1235" customWidth="1"/>
    <col min="10510" max="10752" width="8.875" style="1235"/>
    <col min="10753" max="10753" width="4.875" style="1235" customWidth="1"/>
    <col min="10754" max="10754" width="13.125" style="1235" customWidth="1"/>
    <col min="10755" max="10755" width="15.625" style="1235" customWidth="1"/>
    <col min="10756" max="10756" width="9.375" style="1235" bestFit="1" customWidth="1"/>
    <col min="10757" max="10757" width="13.5" style="1235" customWidth="1"/>
    <col min="10758" max="10758" width="8.875" style="1235"/>
    <col min="10759" max="10759" width="9.375" style="1235" bestFit="1" customWidth="1"/>
    <col min="10760" max="10761" width="8.875" style="1235"/>
    <col min="10762" max="10762" width="9.375" style="1235" bestFit="1" customWidth="1"/>
    <col min="10763" max="10763" width="4" style="1235" customWidth="1"/>
    <col min="10764" max="10764" width="5.125" style="1235" customWidth="1"/>
    <col min="10765" max="10765" width="13.875" style="1235" customWidth="1"/>
    <col min="10766" max="11008" width="8.875" style="1235"/>
    <col min="11009" max="11009" width="4.875" style="1235" customWidth="1"/>
    <col min="11010" max="11010" width="13.125" style="1235" customWidth="1"/>
    <col min="11011" max="11011" width="15.625" style="1235" customWidth="1"/>
    <col min="11012" max="11012" width="9.375" style="1235" bestFit="1" customWidth="1"/>
    <col min="11013" max="11013" width="13.5" style="1235" customWidth="1"/>
    <col min="11014" max="11014" width="8.875" style="1235"/>
    <col min="11015" max="11015" width="9.375" style="1235" bestFit="1" customWidth="1"/>
    <col min="11016" max="11017" width="8.875" style="1235"/>
    <col min="11018" max="11018" width="9.375" style="1235" bestFit="1" customWidth="1"/>
    <col min="11019" max="11019" width="4" style="1235" customWidth="1"/>
    <col min="11020" max="11020" width="5.125" style="1235" customWidth="1"/>
    <col min="11021" max="11021" width="13.875" style="1235" customWidth="1"/>
    <col min="11022" max="11264" width="8.875" style="1235"/>
    <col min="11265" max="11265" width="4.875" style="1235" customWidth="1"/>
    <col min="11266" max="11266" width="13.125" style="1235" customWidth="1"/>
    <col min="11267" max="11267" width="15.625" style="1235" customWidth="1"/>
    <col min="11268" max="11268" width="9.375" style="1235" bestFit="1" customWidth="1"/>
    <col min="11269" max="11269" width="13.5" style="1235" customWidth="1"/>
    <col min="11270" max="11270" width="8.875" style="1235"/>
    <col min="11271" max="11271" width="9.375" style="1235" bestFit="1" customWidth="1"/>
    <col min="11272" max="11273" width="8.875" style="1235"/>
    <col min="11274" max="11274" width="9.375" style="1235" bestFit="1" customWidth="1"/>
    <col min="11275" max="11275" width="4" style="1235" customWidth="1"/>
    <col min="11276" max="11276" width="5.125" style="1235" customWidth="1"/>
    <col min="11277" max="11277" width="13.875" style="1235" customWidth="1"/>
    <col min="11278" max="11520" width="8.875" style="1235"/>
    <col min="11521" max="11521" width="4.875" style="1235" customWidth="1"/>
    <col min="11522" max="11522" width="13.125" style="1235" customWidth="1"/>
    <col min="11523" max="11523" width="15.625" style="1235" customWidth="1"/>
    <col min="11524" max="11524" width="9.375" style="1235" bestFit="1" customWidth="1"/>
    <col min="11525" max="11525" width="13.5" style="1235" customWidth="1"/>
    <col min="11526" max="11526" width="8.875" style="1235"/>
    <col min="11527" max="11527" width="9.375" style="1235" bestFit="1" customWidth="1"/>
    <col min="11528" max="11529" width="8.875" style="1235"/>
    <col min="11530" max="11530" width="9.375" style="1235" bestFit="1" customWidth="1"/>
    <col min="11531" max="11531" width="4" style="1235" customWidth="1"/>
    <col min="11532" max="11532" width="5.125" style="1235" customWidth="1"/>
    <col min="11533" max="11533" width="13.875" style="1235" customWidth="1"/>
    <col min="11534" max="11776" width="8.875" style="1235"/>
    <col min="11777" max="11777" width="4.875" style="1235" customWidth="1"/>
    <col min="11778" max="11778" width="13.125" style="1235" customWidth="1"/>
    <col min="11779" max="11779" width="15.625" style="1235" customWidth="1"/>
    <col min="11780" max="11780" width="9.375" style="1235" bestFit="1" customWidth="1"/>
    <col min="11781" max="11781" width="13.5" style="1235" customWidth="1"/>
    <col min="11782" max="11782" width="8.875" style="1235"/>
    <col min="11783" max="11783" width="9.375" style="1235" bestFit="1" customWidth="1"/>
    <col min="11784" max="11785" width="8.875" style="1235"/>
    <col min="11786" max="11786" width="9.375" style="1235" bestFit="1" customWidth="1"/>
    <col min="11787" max="11787" width="4" style="1235" customWidth="1"/>
    <col min="11788" max="11788" width="5.125" style="1235" customWidth="1"/>
    <col min="11789" max="11789" width="13.875" style="1235" customWidth="1"/>
    <col min="11790" max="12032" width="8.875" style="1235"/>
    <col min="12033" max="12033" width="4.875" style="1235" customWidth="1"/>
    <col min="12034" max="12034" width="13.125" style="1235" customWidth="1"/>
    <col min="12035" max="12035" width="15.625" style="1235" customWidth="1"/>
    <col min="12036" max="12036" width="9.375" style="1235" bestFit="1" customWidth="1"/>
    <col min="12037" max="12037" width="13.5" style="1235" customWidth="1"/>
    <col min="12038" max="12038" width="8.875" style="1235"/>
    <col min="12039" max="12039" width="9.375" style="1235" bestFit="1" customWidth="1"/>
    <col min="12040" max="12041" width="8.875" style="1235"/>
    <col min="12042" max="12042" width="9.375" style="1235" bestFit="1" customWidth="1"/>
    <col min="12043" max="12043" width="4" style="1235" customWidth="1"/>
    <col min="12044" max="12044" width="5.125" style="1235" customWidth="1"/>
    <col min="12045" max="12045" width="13.875" style="1235" customWidth="1"/>
    <col min="12046" max="12288" width="8.875" style="1235"/>
    <col min="12289" max="12289" width="4.875" style="1235" customWidth="1"/>
    <col min="12290" max="12290" width="13.125" style="1235" customWidth="1"/>
    <col min="12291" max="12291" width="15.625" style="1235" customWidth="1"/>
    <col min="12292" max="12292" width="9.375" style="1235" bestFit="1" customWidth="1"/>
    <col min="12293" max="12293" width="13.5" style="1235" customWidth="1"/>
    <col min="12294" max="12294" width="8.875" style="1235"/>
    <col min="12295" max="12295" width="9.375" style="1235" bestFit="1" customWidth="1"/>
    <col min="12296" max="12297" width="8.875" style="1235"/>
    <col min="12298" max="12298" width="9.375" style="1235" bestFit="1" customWidth="1"/>
    <col min="12299" max="12299" width="4" style="1235" customWidth="1"/>
    <col min="12300" max="12300" width="5.125" style="1235" customWidth="1"/>
    <col min="12301" max="12301" width="13.875" style="1235" customWidth="1"/>
    <col min="12302" max="12544" width="8.875" style="1235"/>
    <col min="12545" max="12545" width="4.875" style="1235" customWidth="1"/>
    <col min="12546" max="12546" width="13.125" style="1235" customWidth="1"/>
    <col min="12547" max="12547" width="15.625" style="1235" customWidth="1"/>
    <col min="12548" max="12548" width="9.375" style="1235" bestFit="1" customWidth="1"/>
    <col min="12549" max="12549" width="13.5" style="1235" customWidth="1"/>
    <col min="12550" max="12550" width="8.875" style="1235"/>
    <col min="12551" max="12551" width="9.375" style="1235" bestFit="1" customWidth="1"/>
    <col min="12552" max="12553" width="8.875" style="1235"/>
    <col min="12554" max="12554" width="9.375" style="1235" bestFit="1" customWidth="1"/>
    <col min="12555" max="12555" width="4" style="1235" customWidth="1"/>
    <col min="12556" max="12556" width="5.125" style="1235" customWidth="1"/>
    <col min="12557" max="12557" width="13.875" style="1235" customWidth="1"/>
    <col min="12558" max="12800" width="8.875" style="1235"/>
    <col min="12801" max="12801" width="4.875" style="1235" customWidth="1"/>
    <col min="12802" max="12802" width="13.125" style="1235" customWidth="1"/>
    <col min="12803" max="12803" width="15.625" style="1235" customWidth="1"/>
    <col min="12804" max="12804" width="9.375" style="1235" bestFit="1" customWidth="1"/>
    <col min="12805" max="12805" width="13.5" style="1235" customWidth="1"/>
    <col min="12806" max="12806" width="8.875" style="1235"/>
    <col min="12807" max="12807" width="9.375" style="1235" bestFit="1" customWidth="1"/>
    <col min="12808" max="12809" width="8.875" style="1235"/>
    <col min="12810" max="12810" width="9.375" style="1235" bestFit="1" customWidth="1"/>
    <col min="12811" max="12811" width="4" style="1235" customWidth="1"/>
    <col min="12812" max="12812" width="5.125" style="1235" customWidth="1"/>
    <col min="12813" max="12813" width="13.875" style="1235" customWidth="1"/>
    <col min="12814" max="13056" width="8.875" style="1235"/>
    <col min="13057" max="13057" width="4.875" style="1235" customWidth="1"/>
    <col min="13058" max="13058" width="13.125" style="1235" customWidth="1"/>
    <col min="13059" max="13059" width="15.625" style="1235" customWidth="1"/>
    <col min="13060" max="13060" width="9.375" style="1235" bestFit="1" customWidth="1"/>
    <col min="13061" max="13061" width="13.5" style="1235" customWidth="1"/>
    <col min="13062" max="13062" width="8.875" style="1235"/>
    <col min="13063" max="13063" width="9.375" style="1235" bestFit="1" customWidth="1"/>
    <col min="13064" max="13065" width="8.875" style="1235"/>
    <col min="13066" max="13066" width="9.375" style="1235" bestFit="1" customWidth="1"/>
    <col min="13067" max="13067" width="4" style="1235" customWidth="1"/>
    <col min="13068" max="13068" width="5.125" style="1235" customWidth="1"/>
    <col min="13069" max="13069" width="13.875" style="1235" customWidth="1"/>
    <col min="13070" max="13312" width="8.875" style="1235"/>
    <col min="13313" max="13313" width="4.875" style="1235" customWidth="1"/>
    <col min="13314" max="13314" width="13.125" style="1235" customWidth="1"/>
    <col min="13315" max="13315" width="15.625" style="1235" customWidth="1"/>
    <col min="13316" max="13316" width="9.375" style="1235" bestFit="1" customWidth="1"/>
    <col min="13317" max="13317" width="13.5" style="1235" customWidth="1"/>
    <col min="13318" max="13318" width="8.875" style="1235"/>
    <col min="13319" max="13319" width="9.375" style="1235" bestFit="1" customWidth="1"/>
    <col min="13320" max="13321" width="8.875" style="1235"/>
    <col min="13322" max="13322" width="9.375" style="1235" bestFit="1" customWidth="1"/>
    <col min="13323" max="13323" width="4" style="1235" customWidth="1"/>
    <col min="13324" max="13324" width="5.125" style="1235" customWidth="1"/>
    <col min="13325" max="13325" width="13.875" style="1235" customWidth="1"/>
    <col min="13326" max="13568" width="8.875" style="1235"/>
    <col min="13569" max="13569" width="4.875" style="1235" customWidth="1"/>
    <col min="13570" max="13570" width="13.125" style="1235" customWidth="1"/>
    <col min="13571" max="13571" width="15.625" style="1235" customWidth="1"/>
    <col min="13572" max="13572" width="9.375" style="1235" bestFit="1" customWidth="1"/>
    <col min="13573" max="13573" width="13.5" style="1235" customWidth="1"/>
    <col min="13574" max="13574" width="8.875" style="1235"/>
    <col min="13575" max="13575" width="9.375" style="1235" bestFit="1" customWidth="1"/>
    <col min="13576" max="13577" width="8.875" style="1235"/>
    <col min="13578" max="13578" width="9.375" style="1235" bestFit="1" customWidth="1"/>
    <col min="13579" max="13579" width="4" style="1235" customWidth="1"/>
    <col min="13580" max="13580" width="5.125" style="1235" customWidth="1"/>
    <col min="13581" max="13581" width="13.875" style="1235" customWidth="1"/>
    <col min="13582" max="13824" width="8.875" style="1235"/>
    <col min="13825" max="13825" width="4.875" style="1235" customWidth="1"/>
    <col min="13826" max="13826" width="13.125" style="1235" customWidth="1"/>
    <col min="13827" max="13827" width="15.625" style="1235" customWidth="1"/>
    <col min="13828" max="13828" width="9.375" style="1235" bestFit="1" customWidth="1"/>
    <col min="13829" max="13829" width="13.5" style="1235" customWidth="1"/>
    <col min="13830" max="13830" width="8.875" style="1235"/>
    <col min="13831" max="13831" width="9.375" style="1235" bestFit="1" customWidth="1"/>
    <col min="13832" max="13833" width="8.875" style="1235"/>
    <col min="13834" max="13834" width="9.375" style="1235" bestFit="1" customWidth="1"/>
    <col min="13835" max="13835" width="4" style="1235" customWidth="1"/>
    <col min="13836" max="13836" width="5.125" style="1235" customWidth="1"/>
    <col min="13837" max="13837" width="13.875" style="1235" customWidth="1"/>
    <col min="13838" max="14080" width="8.875" style="1235"/>
    <col min="14081" max="14081" width="4.875" style="1235" customWidth="1"/>
    <col min="14082" max="14082" width="13.125" style="1235" customWidth="1"/>
    <col min="14083" max="14083" width="15.625" style="1235" customWidth="1"/>
    <col min="14084" max="14084" width="9.375" style="1235" bestFit="1" customWidth="1"/>
    <col min="14085" max="14085" width="13.5" style="1235" customWidth="1"/>
    <col min="14086" max="14086" width="8.875" style="1235"/>
    <col min="14087" max="14087" width="9.375" style="1235" bestFit="1" customWidth="1"/>
    <col min="14088" max="14089" width="8.875" style="1235"/>
    <col min="14090" max="14090" width="9.375" style="1235" bestFit="1" customWidth="1"/>
    <col min="14091" max="14091" width="4" style="1235" customWidth="1"/>
    <col min="14092" max="14092" width="5.125" style="1235" customWidth="1"/>
    <col min="14093" max="14093" width="13.875" style="1235" customWidth="1"/>
    <col min="14094" max="14336" width="8.875" style="1235"/>
    <col min="14337" max="14337" width="4.875" style="1235" customWidth="1"/>
    <col min="14338" max="14338" width="13.125" style="1235" customWidth="1"/>
    <col min="14339" max="14339" width="15.625" style="1235" customWidth="1"/>
    <col min="14340" max="14340" width="9.375" style="1235" bestFit="1" customWidth="1"/>
    <col min="14341" max="14341" width="13.5" style="1235" customWidth="1"/>
    <col min="14342" max="14342" width="8.875" style="1235"/>
    <col min="14343" max="14343" width="9.375" style="1235" bestFit="1" customWidth="1"/>
    <col min="14344" max="14345" width="8.875" style="1235"/>
    <col min="14346" max="14346" width="9.375" style="1235" bestFit="1" customWidth="1"/>
    <col min="14347" max="14347" width="4" style="1235" customWidth="1"/>
    <col min="14348" max="14348" width="5.125" style="1235" customWidth="1"/>
    <col min="14349" max="14349" width="13.875" style="1235" customWidth="1"/>
    <col min="14350" max="14592" width="8.875" style="1235"/>
    <col min="14593" max="14593" width="4.875" style="1235" customWidth="1"/>
    <col min="14594" max="14594" width="13.125" style="1235" customWidth="1"/>
    <col min="14595" max="14595" width="15.625" style="1235" customWidth="1"/>
    <col min="14596" max="14596" width="9.375" style="1235" bestFit="1" customWidth="1"/>
    <col min="14597" max="14597" width="13.5" style="1235" customWidth="1"/>
    <col min="14598" max="14598" width="8.875" style="1235"/>
    <col min="14599" max="14599" width="9.375" style="1235" bestFit="1" customWidth="1"/>
    <col min="14600" max="14601" width="8.875" style="1235"/>
    <col min="14602" max="14602" width="9.375" style="1235" bestFit="1" customWidth="1"/>
    <col min="14603" max="14603" width="4" style="1235" customWidth="1"/>
    <col min="14604" max="14604" width="5.125" style="1235" customWidth="1"/>
    <col min="14605" max="14605" width="13.875" style="1235" customWidth="1"/>
    <col min="14606" max="14848" width="8.875" style="1235"/>
    <col min="14849" max="14849" width="4.875" style="1235" customWidth="1"/>
    <col min="14850" max="14850" width="13.125" style="1235" customWidth="1"/>
    <col min="14851" max="14851" width="15.625" style="1235" customWidth="1"/>
    <col min="14852" max="14852" width="9.375" style="1235" bestFit="1" customWidth="1"/>
    <col min="14853" max="14853" width="13.5" style="1235" customWidth="1"/>
    <col min="14854" max="14854" width="8.875" style="1235"/>
    <col min="14855" max="14855" width="9.375" style="1235" bestFit="1" customWidth="1"/>
    <col min="14856" max="14857" width="8.875" style="1235"/>
    <col min="14858" max="14858" width="9.375" style="1235" bestFit="1" customWidth="1"/>
    <col min="14859" max="14859" width="4" style="1235" customWidth="1"/>
    <col min="14860" max="14860" width="5.125" style="1235" customWidth="1"/>
    <col min="14861" max="14861" width="13.875" style="1235" customWidth="1"/>
    <col min="14862" max="15104" width="8.875" style="1235"/>
    <col min="15105" max="15105" width="4.875" style="1235" customWidth="1"/>
    <col min="15106" max="15106" width="13.125" style="1235" customWidth="1"/>
    <col min="15107" max="15107" width="15.625" style="1235" customWidth="1"/>
    <col min="15108" max="15108" width="9.375" style="1235" bestFit="1" customWidth="1"/>
    <col min="15109" max="15109" width="13.5" style="1235" customWidth="1"/>
    <col min="15110" max="15110" width="8.875" style="1235"/>
    <col min="15111" max="15111" width="9.375" style="1235" bestFit="1" customWidth="1"/>
    <col min="15112" max="15113" width="8.875" style="1235"/>
    <col min="15114" max="15114" width="9.375" style="1235" bestFit="1" customWidth="1"/>
    <col min="15115" max="15115" width="4" style="1235" customWidth="1"/>
    <col min="15116" max="15116" width="5.125" style="1235" customWidth="1"/>
    <col min="15117" max="15117" width="13.875" style="1235" customWidth="1"/>
    <col min="15118" max="15360" width="8.875" style="1235"/>
    <col min="15361" max="15361" width="4.875" style="1235" customWidth="1"/>
    <col min="15362" max="15362" width="13.125" style="1235" customWidth="1"/>
    <col min="15363" max="15363" width="15.625" style="1235" customWidth="1"/>
    <col min="15364" max="15364" width="9.375" style="1235" bestFit="1" customWidth="1"/>
    <col min="15365" max="15365" width="13.5" style="1235" customWidth="1"/>
    <col min="15366" max="15366" width="8.875" style="1235"/>
    <col min="15367" max="15367" width="9.375" style="1235" bestFit="1" customWidth="1"/>
    <col min="15368" max="15369" width="8.875" style="1235"/>
    <col min="15370" max="15370" width="9.375" style="1235" bestFit="1" customWidth="1"/>
    <col min="15371" max="15371" width="4" style="1235" customWidth="1"/>
    <col min="15372" max="15372" width="5.125" style="1235" customWidth="1"/>
    <col min="15373" max="15373" width="13.875" style="1235" customWidth="1"/>
    <col min="15374" max="15616" width="8.875" style="1235"/>
    <col min="15617" max="15617" width="4.875" style="1235" customWidth="1"/>
    <col min="15618" max="15618" width="13.125" style="1235" customWidth="1"/>
    <col min="15619" max="15619" width="15.625" style="1235" customWidth="1"/>
    <col min="15620" max="15620" width="9.375" style="1235" bestFit="1" customWidth="1"/>
    <col min="15621" max="15621" width="13.5" style="1235" customWidth="1"/>
    <col min="15622" max="15622" width="8.875" style="1235"/>
    <col min="15623" max="15623" width="9.375" style="1235" bestFit="1" customWidth="1"/>
    <col min="15624" max="15625" width="8.875" style="1235"/>
    <col min="15626" max="15626" width="9.375" style="1235" bestFit="1" customWidth="1"/>
    <col min="15627" max="15627" width="4" style="1235" customWidth="1"/>
    <col min="15628" max="15628" width="5.125" style="1235" customWidth="1"/>
    <col min="15629" max="15629" width="13.875" style="1235" customWidth="1"/>
    <col min="15630" max="15872" width="8.875" style="1235"/>
    <col min="15873" max="15873" width="4.875" style="1235" customWidth="1"/>
    <col min="15874" max="15874" width="13.125" style="1235" customWidth="1"/>
    <col min="15875" max="15875" width="15.625" style="1235" customWidth="1"/>
    <col min="15876" max="15876" width="9.375" style="1235" bestFit="1" customWidth="1"/>
    <col min="15877" max="15877" width="13.5" style="1235" customWidth="1"/>
    <col min="15878" max="15878" width="8.875" style="1235"/>
    <col min="15879" max="15879" width="9.375" style="1235" bestFit="1" customWidth="1"/>
    <col min="15880" max="15881" width="8.875" style="1235"/>
    <col min="15882" max="15882" width="9.375" style="1235" bestFit="1" customWidth="1"/>
    <col min="15883" max="15883" width="4" style="1235" customWidth="1"/>
    <col min="15884" max="15884" width="5.125" style="1235" customWidth="1"/>
    <col min="15885" max="15885" width="13.875" style="1235" customWidth="1"/>
    <col min="15886" max="16128" width="8.875" style="1235"/>
    <col min="16129" max="16129" width="4.875" style="1235" customWidth="1"/>
    <col min="16130" max="16130" width="13.125" style="1235" customWidth="1"/>
    <col min="16131" max="16131" width="15.625" style="1235" customWidth="1"/>
    <col min="16132" max="16132" width="9.375" style="1235" bestFit="1" customWidth="1"/>
    <col min="16133" max="16133" width="13.5" style="1235" customWidth="1"/>
    <col min="16134" max="16134" width="8.875" style="1235"/>
    <col min="16135" max="16135" width="9.375" style="1235" bestFit="1" customWidth="1"/>
    <col min="16136" max="16137" width="8.875" style="1235"/>
    <col min="16138" max="16138" width="9.375" style="1235" bestFit="1" customWidth="1"/>
    <col min="16139" max="16139" width="4" style="1235" customWidth="1"/>
    <col min="16140" max="16140" width="5.125" style="1235" customWidth="1"/>
    <col min="16141" max="16141" width="13.875" style="1235" customWidth="1"/>
    <col min="16142" max="16384" width="8.875" style="1235"/>
  </cols>
  <sheetData>
    <row r="1" spans="1:257" s="1297" customFormat="1" ht="15" thickBot="1">
      <c r="A1" s="1291"/>
      <c r="B1" s="1298" t="s">
        <v>602</v>
      </c>
      <c r="C1" s="1292">
        <f>项目基本情况!D3</f>
        <v>44970</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5">
      <c r="A13" s="1280"/>
      <c r="B13" s="1281" t="s">
        <v>632</v>
      </c>
      <c r="C13" s="2813">
        <v>44795</v>
      </c>
      <c r="D13" s="2814">
        <v>3.65</v>
      </c>
      <c r="E13" s="2814">
        <f>D13</f>
        <v>3.65</v>
      </c>
      <c r="F13" s="2814">
        <f>D13</f>
        <v>3.65</v>
      </c>
      <c r="G13" s="2814">
        <f>D13</f>
        <v>3.65</v>
      </c>
      <c r="H13" s="2814">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A14" s="1280"/>
      <c r="B14" s="2808"/>
      <c r="C14" s="2810">
        <v>44701</v>
      </c>
      <c r="D14" s="2809">
        <v>3.7</v>
      </c>
      <c r="E14" s="2809">
        <f>D14</f>
        <v>3.7</v>
      </c>
      <c r="F14" s="2809">
        <f>D14</f>
        <v>3.7</v>
      </c>
      <c r="G14" s="2809">
        <f>D14</f>
        <v>3.7</v>
      </c>
      <c r="H14" s="2809">
        <v>4.45</v>
      </c>
      <c r="I14" s="2814"/>
      <c r="J14" s="281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c r="A15" s="1280"/>
      <c r="B15" s="2808"/>
      <c r="C15" s="2810">
        <v>44581</v>
      </c>
      <c r="D15" s="2809">
        <v>3.7</v>
      </c>
      <c r="E15" s="2809">
        <f>D15</f>
        <v>3.7</v>
      </c>
      <c r="F15" s="2809">
        <f>D15</f>
        <v>3.7</v>
      </c>
      <c r="G15" s="2809">
        <f>D15</f>
        <v>3.7</v>
      </c>
      <c r="H15" s="2809">
        <v>4.5999999999999996</v>
      </c>
      <c r="I15" s="2814"/>
      <c r="J15" s="281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c r="A16" s="1280"/>
      <c r="B16" s="2809"/>
      <c r="C16" s="2810">
        <v>44550</v>
      </c>
      <c r="D16" s="2809">
        <v>3.8</v>
      </c>
      <c r="E16" s="2809">
        <f>D16</f>
        <v>3.8</v>
      </c>
      <c r="F16" s="2809">
        <f>D16</f>
        <v>3.8</v>
      </c>
      <c r="G16" s="2809">
        <f>D16</f>
        <v>3.8</v>
      </c>
      <c r="H16" s="2809">
        <v>4.6500000000000004</v>
      </c>
      <c r="I16" s="2809"/>
      <c r="J16" s="2814"/>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c r="A17" s="1280"/>
      <c r="B17" s="2809"/>
      <c r="C17" s="2810">
        <v>43941</v>
      </c>
      <c r="D17" s="2809">
        <v>3.85</v>
      </c>
      <c r="E17" s="2809">
        <v>3.85</v>
      </c>
      <c r="F17" s="2809">
        <v>3.85</v>
      </c>
      <c r="G17" s="2809">
        <v>3.85</v>
      </c>
      <c r="H17" s="2809">
        <v>4.6500000000000004</v>
      </c>
      <c r="I17" s="2809"/>
      <c r="J17" s="2809"/>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75">
      <c r="A18" s="1280"/>
      <c r="B18" s="2809"/>
      <c r="C18" s="2810">
        <v>43881</v>
      </c>
      <c r="D18" s="2809">
        <v>4.05</v>
      </c>
      <c r="E18" s="2809">
        <v>4.05</v>
      </c>
      <c r="F18" s="2809">
        <v>4.05</v>
      </c>
      <c r="G18" s="2809">
        <v>4.05</v>
      </c>
      <c r="H18" s="2809">
        <v>4.75</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c r="A19" s="1280"/>
      <c r="B19" s="2809"/>
      <c r="C19" s="2810">
        <v>43789</v>
      </c>
      <c r="D19" s="2809">
        <v>4.1500000000000004</v>
      </c>
      <c r="E19" s="2809">
        <v>4.1500000000000004</v>
      </c>
      <c r="F19" s="2809">
        <v>4.1500000000000004</v>
      </c>
      <c r="G19" s="2809">
        <v>4.1500000000000004</v>
      </c>
      <c r="H19" s="2809">
        <v>4.8</v>
      </c>
      <c r="I19" s="2809"/>
      <c r="J19" s="280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c r="A20" s="1280"/>
      <c r="B20" s="2809"/>
      <c r="C20" s="2810">
        <v>43728</v>
      </c>
      <c r="D20" s="2809">
        <v>4.2</v>
      </c>
      <c r="E20" s="2809">
        <v>4.2</v>
      </c>
      <c r="F20" s="2809">
        <v>4.2</v>
      </c>
      <c r="G20" s="2809">
        <v>4.2</v>
      </c>
      <c r="H20" s="2809">
        <v>4.8499999999999996</v>
      </c>
      <c r="I20" s="2809"/>
      <c r="J20" s="280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c r="A21" s="1280"/>
      <c r="B21" s="2808" t="s">
        <v>2310</v>
      </c>
      <c r="C21" s="2811">
        <v>43697</v>
      </c>
      <c r="D21" s="2812">
        <v>4.25</v>
      </c>
      <c r="E21" s="2812">
        <v>4.25</v>
      </c>
      <c r="F21" s="2812">
        <v>4.25</v>
      </c>
      <c r="G21" s="2812">
        <v>4.25</v>
      </c>
      <c r="H21" s="2812">
        <v>4.8499999999999996</v>
      </c>
      <c r="I21" s="2812"/>
      <c r="J21" s="2812"/>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c r="A22" s="2815"/>
      <c r="B22" s="2816"/>
      <c r="C22" s="2817">
        <v>42301</v>
      </c>
      <c r="D22" s="2818">
        <v>4.3499999999999996</v>
      </c>
      <c r="E22" s="2818">
        <v>4.3499999999999996</v>
      </c>
      <c r="F22" s="2818">
        <v>4.75</v>
      </c>
      <c r="G22" s="2818">
        <v>4.75</v>
      </c>
      <c r="H22" s="2818">
        <v>4.9000000000000004</v>
      </c>
      <c r="I22" s="2818"/>
      <c r="J22" s="2818"/>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1" t="str">
        <f>IF(项目基本情况!B9="房地产市场价值","估价结果一览表","结果表-2")</f>
        <v>估价结果一览表</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在建建筑物价值</v>
      </c>
      <c r="G2" s="3512"/>
      <c r="H2" s="3512" t="str">
        <f>IF(项目基本情况!B9="房地产市场价值","房地产市场价值","房地产价值")</f>
        <v>房地产市场价值</v>
      </c>
      <c r="I2" s="3512"/>
    </row>
    <row r="3" spans="1:9" ht="15">
      <c r="A3" s="3513"/>
      <c r="B3" s="3513"/>
      <c r="C3" s="3513"/>
      <c r="D3" s="850" t="s">
        <v>925</v>
      </c>
      <c r="E3" s="850" t="s">
        <v>931</v>
      </c>
      <c r="F3" s="850" t="s">
        <v>925</v>
      </c>
      <c r="G3" s="850" t="s">
        <v>926</v>
      </c>
      <c r="H3" s="850" t="s">
        <v>925</v>
      </c>
      <c r="I3" s="850" t="s">
        <v>926</v>
      </c>
    </row>
    <row r="4" spans="1:9" ht="15">
      <c r="A4" s="1501"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29162</v>
      </c>
    </row>
    <row r="5" spans="1:9" ht="30" customHeight="1">
      <c r="A5" s="3513" t="s">
        <v>927</v>
      </c>
      <c r="B5" s="3513"/>
      <c r="C5" s="3513"/>
      <c r="D5" s="3513" t="e">
        <f ca="1">结果表!D119</f>
        <v>#REF!</v>
      </c>
      <c r="E5" s="3513"/>
      <c r="F5" s="3513" t="e">
        <f ca="1">结果表!F119</f>
        <v>#REF!</v>
      </c>
      <c r="G5" s="3513"/>
      <c r="H5" s="3513" t="str">
        <f ca="1">结果表!H119</f>
        <v>叁万元整</v>
      </c>
      <c r="I5" s="3513"/>
    </row>
    <row r="6" spans="1:9" ht="15.75">
      <c r="A6" s="3514" t="str">
        <f>结果表!A120</f>
        <v/>
      </c>
      <c r="B6" s="3514"/>
      <c r="C6" s="3514"/>
      <c r="D6" s="3514">
        <f>结果表!D120</f>
        <v>0</v>
      </c>
      <c r="E6" s="3514"/>
      <c r="F6" s="3514"/>
      <c r="G6" s="3514"/>
      <c r="H6" s="3514"/>
      <c r="I6" s="3514"/>
    </row>
    <row r="7" spans="1:9" ht="15">
      <c r="A7" s="3513" t="s">
        <v>927</v>
      </c>
      <c r="B7" s="3513"/>
      <c r="C7" s="3513"/>
      <c r="D7" s="3515" t="str">
        <f>结果表!D121</f>
        <v>零元整</v>
      </c>
      <c r="E7" s="3516"/>
      <c r="F7" s="3516"/>
      <c r="G7" s="3516"/>
      <c r="H7" s="3516"/>
      <c r="I7" s="3517"/>
    </row>
    <row r="8" spans="1:9" ht="15.75">
      <c r="A8" s="3514" t="str">
        <f>结果表!A122</f>
        <v/>
      </c>
      <c r="B8" s="3514"/>
      <c r="C8" s="3514"/>
      <c r="D8" s="3514">
        <f ca="1">结果表!D122</f>
        <v>3</v>
      </c>
      <c r="E8" s="3514"/>
      <c r="F8" s="3514"/>
      <c r="G8" s="3514"/>
      <c r="H8" s="3514"/>
      <c r="I8" s="3514"/>
    </row>
    <row r="9" spans="1:9" ht="15">
      <c r="A9" s="3513" t="s">
        <v>927</v>
      </c>
      <c r="B9" s="3513"/>
      <c r="C9" s="3513"/>
      <c r="D9" s="3513" t="str">
        <f ca="1">结果表!D123</f>
        <v>叁万元整</v>
      </c>
      <c r="E9" s="3513"/>
      <c r="F9" s="3513"/>
      <c r="G9" s="3513"/>
      <c r="H9" s="3513"/>
      <c r="I9" s="3513"/>
    </row>
    <row r="10" spans="1:9" ht="15.75">
      <c r="A10" s="3514" t="str">
        <f>结果表!A124</f>
        <v/>
      </c>
      <c r="B10" s="3514"/>
      <c r="C10" s="3514"/>
      <c r="D10" s="3514" t="str">
        <f>结果表!D124</f>
        <v>——</v>
      </c>
      <c r="E10" s="3514"/>
      <c r="F10" s="3514"/>
      <c r="G10" s="3514"/>
      <c r="H10" s="3514"/>
      <c r="I10" s="3514"/>
    </row>
    <row r="11" spans="1:9" ht="15">
      <c r="A11" s="3513" t="s">
        <v>927</v>
      </c>
      <c r="B11" s="3513"/>
      <c r="C11" s="3513"/>
      <c r="D11" s="3513" t="e">
        <f>结果表!D125</f>
        <v>#VALUE!</v>
      </c>
      <c r="E11" s="3513"/>
      <c r="F11" s="3513"/>
      <c r="G11" s="3513"/>
      <c r="H11" s="3513"/>
      <c r="I11" s="3513"/>
    </row>
    <row r="12" spans="1:9" ht="15.75">
      <c r="A12" s="3514" t="str">
        <f>结果表!A126</f>
        <v/>
      </c>
      <c r="B12" s="3514"/>
      <c r="C12" s="3514"/>
      <c r="D12" s="3514" t="str">
        <f>结果表!D126</f>
        <v>——</v>
      </c>
      <c r="E12" s="3514"/>
      <c r="F12" s="3514"/>
      <c r="G12" s="3514"/>
      <c r="H12" s="3514"/>
      <c r="I12" s="3514"/>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0" t="s">
        <v>949</v>
      </c>
      <c r="B1" s="3520"/>
      <c r="C1" s="3520"/>
      <c r="D1" s="3520"/>
    </row>
    <row r="2" spans="1:4" ht="18">
      <c r="A2" s="3521" t="s">
        <v>933</v>
      </c>
      <c r="B2" s="3521"/>
      <c r="C2" s="3521"/>
      <c r="D2" s="3521"/>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1" t="s">
        <v>939</v>
      </c>
      <c r="B6" s="3521"/>
      <c r="C6" s="3521"/>
      <c r="D6" s="3521"/>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22"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4"/>
      <c r="C12" s="3524"/>
      <c r="D12" s="3524"/>
    </row>
    <row r="13" spans="1:4" ht="30" customHeight="1">
      <c r="A13" s="3523" t="str">
        <f>IF(项目基本情况!B8="抵押","3.抵押双方在办理抵押登记手续时，应使用本公司出具的正式《房地产评估报告》，特提醒报告使用者注意。","——")</f>
        <v>——</v>
      </c>
      <c r="B13" s="3524"/>
      <c r="C13" s="3524"/>
      <c r="D13" s="3524"/>
    </row>
    <row r="14" spans="1:4" ht="15.75" customHeight="1">
      <c r="A14" s="3523" t="str">
        <f>IF(项目基本情况!B8="抵押","4.本次评估估价师所知悉的法定优先受偿款情况说明如下：","——")</f>
        <v>——</v>
      </c>
      <c r="B14" s="3524"/>
      <c r="C14" s="3524"/>
      <c r="D14" s="3524"/>
    </row>
    <row r="15" spans="1:4" ht="42" customHeight="1">
      <c r="A15" s="3523" t="str">
        <f>IF(项目基本情况!B8="抵押","（1）"&amp;CONCATENATE(项目基本情况!L20,项目基本情况!L21,项目基本情况!L22),"——")</f>
        <v>——</v>
      </c>
      <c r="B15" s="3523"/>
      <c r="C15" s="3523"/>
      <c r="D15" s="3523"/>
    </row>
    <row r="16" spans="1:4" ht="30" customHeight="1">
      <c r="A16" s="3526" t="s">
        <v>943</v>
      </c>
      <c r="B16" s="3526"/>
      <c r="C16" s="3526"/>
      <c r="D16" s="3526"/>
    </row>
    <row r="17" spans="1:4" ht="144" customHeight="1">
      <c r="A17" s="3526" t="s">
        <v>944</v>
      </c>
      <c r="B17" s="3526"/>
      <c r="C17" s="3526"/>
      <c r="D17" s="3526"/>
    </row>
    <row r="18" spans="1:4" ht="15.75" customHeight="1">
      <c r="A18" s="3523" t="str">
        <f>IF(项目基本情况!B8="抵押",结果表!K120,"——")</f>
        <v>——</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3"/>
      <c r="C20" s="3523"/>
      <c r="D20" s="3523"/>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7"/>
      <c r="C21" s="3527"/>
      <c r="D21" s="3527"/>
    </row>
    <row r="22" spans="1:4" ht="18.75" customHeight="1">
      <c r="A22" s="3528" t="s">
        <v>945</v>
      </c>
      <c r="B22" s="3528"/>
      <c r="C22" s="3528"/>
      <c r="D22" s="3528"/>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5">
        <v>42551</v>
      </c>
      <c r="D31" s="35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1" customWidth="1"/>
    <col min="3" max="10" width="12.5" style="1471" customWidth="1"/>
    <col min="11" max="16384" width="9" style="1471"/>
  </cols>
  <sheetData>
    <row r="1" spans="1:10" ht="18">
      <c r="A1" s="1504" t="s">
        <v>391</v>
      </c>
      <c r="B1" s="1515"/>
      <c r="C1" s="1515"/>
      <c r="D1" s="1515"/>
      <c r="E1" s="1515"/>
      <c r="F1" s="1515"/>
      <c r="G1" s="1515"/>
      <c r="H1" s="1515"/>
      <c r="I1" s="1515"/>
      <c r="J1" s="1515"/>
    </row>
    <row r="2" spans="1:10" ht="18">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1" customWidth="1"/>
    <col min="2" max="16384" width="14.5" style="1503"/>
  </cols>
  <sheetData>
    <row r="1" spans="1:7" s="1518" customFormat="1" ht="18">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25">
      <c r="A15" s="3534" t="s">
        <v>956</v>
      </c>
      <c r="B15" s="3529" t="s">
        <v>109</v>
      </c>
      <c r="C15" s="3530"/>
    </row>
    <row r="16" spans="1:7" ht="14.25">
      <c r="A16" s="3535"/>
      <c r="B16" s="3529" t="s">
        <v>42</v>
      </c>
      <c r="C16" s="3530"/>
    </row>
    <row r="17" spans="1:3" ht="14.25">
      <c r="A17" s="3535"/>
      <c r="B17" s="3532" t="s">
        <v>957</v>
      </c>
      <c r="C17" s="1528" t="s">
        <v>956</v>
      </c>
    </row>
    <row r="18" spans="1:3" ht="14.25">
      <c r="A18" s="3535"/>
      <c r="B18" s="3532"/>
      <c r="C18" s="1528" t="s">
        <v>958</v>
      </c>
    </row>
    <row r="19" spans="1:3" ht="14.25">
      <c r="A19" s="3535"/>
      <c r="B19" s="3532"/>
      <c r="C19" s="1528" t="s">
        <v>959</v>
      </c>
    </row>
    <row r="20" spans="1:3" ht="14.25">
      <c r="A20" s="3536"/>
      <c r="B20" s="3531" t="s">
        <v>960</v>
      </c>
      <c r="C20" s="3530"/>
    </row>
    <row r="21" spans="1:3" ht="14.25">
      <c r="A21" s="1529" t="s">
        <v>961</v>
      </c>
      <c r="B21" s="1530"/>
      <c r="C21" s="1531"/>
    </row>
    <row r="22" spans="1:3" ht="14.25">
      <c r="A22" s="3533" t="s">
        <v>962</v>
      </c>
      <c r="B22" s="3531" t="s">
        <v>963</v>
      </c>
      <c r="C22" s="3530"/>
    </row>
    <row r="23" spans="1:3" ht="14.25">
      <c r="A23" s="3533"/>
      <c r="B23" s="3531" t="s">
        <v>964</v>
      </c>
      <c r="C23" s="3530"/>
    </row>
    <row r="24" spans="1:3" ht="14.25">
      <c r="A24" s="3533"/>
      <c r="B24" s="3531" t="s">
        <v>965</v>
      </c>
      <c r="C24" s="3530"/>
    </row>
    <row r="25" spans="1:3" ht="14.25">
      <c r="A25" s="3533"/>
      <c r="B25" s="3532" t="s">
        <v>966</v>
      </c>
      <c r="C25" s="1528" t="s">
        <v>967</v>
      </c>
    </row>
    <row r="26" spans="1:3" ht="14.25">
      <c r="A26" s="3533"/>
      <c r="B26" s="3532"/>
      <c r="C26" s="1528" t="s">
        <v>968</v>
      </c>
    </row>
    <row r="27" spans="1:3" ht="14.25">
      <c r="A27" s="3533"/>
      <c r="B27" s="3532"/>
      <c r="C27" s="1528" t="s">
        <v>969</v>
      </c>
    </row>
    <row r="28" spans="1:3" ht="14.25">
      <c r="A28" s="3533"/>
      <c r="B28" s="3532"/>
      <c r="C28" s="1528" t="s">
        <v>970</v>
      </c>
    </row>
    <row r="29" spans="1:3" ht="14.25">
      <c r="A29" s="3533"/>
      <c r="B29" s="3532"/>
      <c r="C29" s="1528" t="s">
        <v>971</v>
      </c>
    </row>
    <row r="30" spans="1:3" ht="14.25">
      <c r="A30" s="3533"/>
      <c r="B30" s="3532"/>
      <c r="C30" s="1528" t="s">
        <v>972</v>
      </c>
    </row>
    <row r="31" spans="1:3" ht="14.25">
      <c r="A31" s="3533"/>
      <c r="B31" s="3532"/>
      <c r="C31" s="1528" t="s">
        <v>973</v>
      </c>
    </row>
    <row r="32" spans="1:3" ht="14.25">
      <c r="A32" s="3533"/>
      <c r="B32" s="3532"/>
      <c r="C32" s="1528" t="s">
        <v>974</v>
      </c>
    </row>
    <row r="33" spans="1:3" ht="14.25">
      <c r="A33" s="3533"/>
      <c r="B33" s="3532"/>
      <c r="C33" s="1528" t="s">
        <v>975</v>
      </c>
    </row>
    <row r="34" spans="1:3">
      <c r="A34" s="1532" t="s">
        <v>49</v>
      </c>
    </row>
    <row r="37" spans="1:3">
      <c r="A37" s="1532" t="s">
        <v>976</v>
      </c>
    </row>
    <row r="38" spans="1:3" ht="14.25">
      <c r="A38" s="1533" t="s">
        <v>50</v>
      </c>
    </row>
    <row r="39" spans="1:3" ht="14.25">
      <c r="A39" s="1533" t="s">
        <v>51</v>
      </c>
    </row>
    <row r="40" spans="1:3" ht="14.25">
      <c r="A40" s="1533" t="s">
        <v>52</v>
      </c>
    </row>
    <row r="41" spans="1:3" ht="14.25">
      <c r="A41" s="1534" t="s">
        <v>53</v>
      </c>
    </row>
    <row r="42" spans="1:3" ht="14.2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2139</v>
      </c>
      <c r="B2" s="2332">
        <f ca="1">TODAY()</f>
        <v>44971</v>
      </c>
      <c r="C2" s="2333" t="s">
        <v>2140</v>
      </c>
      <c r="D2" s="2333"/>
      <c r="E2" s="2333"/>
      <c r="F2" s="2329"/>
      <c r="G2" s="2329"/>
      <c r="H2" s="2329"/>
    </row>
    <row r="3" spans="1:8" ht="24" customHeight="1">
      <c r="A3" s="2334" t="s">
        <v>2141</v>
      </c>
      <c r="B3" s="2335" t="s">
        <v>2142</v>
      </c>
      <c r="C3" s="2335" t="s">
        <v>2143</v>
      </c>
      <c r="D3" s="2336" t="s">
        <v>2144</v>
      </c>
      <c r="E3" s="2337" t="s">
        <v>2145</v>
      </c>
      <c r="F3" s="1300" t="s">
        <v>2146</v>
      </c>
      <c r="G3" s="2335" t="s">
        <v>2143</v>
      </c>
      <c r="H3" s="2336" t="s">
        <v>2147</v>
      </c>
    </row>
    <row r="4" spans="1:8" ht="24" customHeight="1">
      <c r="A4" s="1300" t="s">
        <v>2148</v>
      </c>
      <c r="B4" s="1300">
        <f ca="1">IF(C4&lt;B2,"已过期",1119970066)</f>
        <v>1119970066</v>
      </c>
      <c r="C4" s="2338">
        <v>45937</v>
      </c>
      <c r="D4" s="2339" t="str">
        <f ca="1">A4&amp;"（注册号："&amp;B4&amp;"）"</f>
        <v>梁津（注册号：1119970066）</v>
      </c>
      <c r="E4" s="2340" t="s">
        <v>2148</v>
      </c>
      <c r="F4" s="1300">
        <f ca="1">IF(G4&lt;B2,"已过期",96010014)</f>
        <v>96010014</v>
      </c>
      <c r="G4" s="2341">
        <v>47118</v>
      </c>
      <c r="H4" s="2342" t="str">
        <f ca="1">E4&amp;"（注册号："&amp;F4&amp;"）"</f>
        <v>梁津（注册号：96010014）</v>
      </c>
    </row>
    <row r="5" spans="1:8" ht="24" customHeight="1">
      <c r="A5" s="1300" t="s">
        <v>2149</v>
      </c>
      <c r="B5" s="1300">
        <f ca="1">IF(C5&lt;B2,"已过期",1119970111)</f>
        <v>1119970111</v>
      </c>
      <c r="C5" s="2338">
        <v>45937</v>
      </c>
      <c r="D5" s="2339" t="str">
        <f t="shared" ref="D5:D15" ca="1" si="0">A5&amp;"（注册号："&amp;B5&amp;"）"</f>
        <v>叶凌（注册号：1119970111）</v>
      </c>
      <c r="E5" s="2340" t="s">
        <v>2149</v>
      </c>
      <c r="F5" s="1300">
        <f ca="1">IF(G5&lt;B2,"已过期",94010078)</f>
        <v>94010078</v>
      </c>
      <c r="G5" s="2341">
        <v>46387</v>
      </c>
      <c r="H5" s="2342" t="str">
        <f t="shared" ref="H5:H16" ca="1" si="1">E5&amp;"（注册号："&amp;F5&amp;"）"</f>
        <v>叶凌（注册号：94010078）</v>
      </c>
    </row>
    <row r="6" spans="1:8" ht="24" customHeight="1">
      <c r="A6" s="1300" t="s">
        <v>2150</v>
      </c>
      <c r="B6" s="1300">
        <f ca="1">IF(C6&lt;B2,"已过期",1120050019)</f>
        <v>1120050019</v>
      </c>
      <c r="C6" s="2338">
        <v>45410</v>
      </c>
      <c r="D6" s="2339" t="str">
        <f t="shared" ca="1" si="0"/>
        <v>王鹏（注册号：1120050019）</v>
      </c>
      <c r="E6" s="2340" t="s">
        <v>2150</v>
      </c>
      <c r="F6" s="1300">
        <f ca="1">IF(G6&lt;B2,"已过期",2002110030)</f>
        <v>2002110030</v>
      </c>
      <c r="G6" s="2341">
        <v>46387</v>
      </c>
      <c r="H6" s="2342" t="str">
        <f t="shared" ca="1" si="1"/>
        <v>王鹏（注册号：2002110030）</v>
      </c>
    </row>
    <row r="7" spans="1:8" ht="24" customHeight="1">
      <c r="A7" s="1300" t="s">
        <v>2151</v>
      </c>
      <c r="B7" s="1300">
        <f ca="1">IF(C7&lt;B2,"已过期",1120000080)</f>
        <v>1120000080</v>
      </c>
      <c r="C7" s="2338">
        <v>45937</v>
      </c>
      <c r="D7" s="2339" t="str">
        <f t="shared" ca="1" si="0"/>
        <v>欧红伟（注册号：1120000080）</v>
      </c>
      <c r="E7" s="2340" t="s">
        <v>2151</v>
      </c>
      <c r="F7" s="1300">
        <f ca="1">IF(G7&lt;B2,"已过期",2000110082)</f>
        <v>2000110082</v>
      </c>
      <c r="G7" s="2341">
        <v>46387</v>
      </c>
      <c r="H7" s="2342" t="str">
        <f t="shared" ca="1" si="1"/>
        <v>欧红伟（注册号：2000110082）</v>
      </c>
    </row>
    <row r="8" spans="1:8" ht="24" customHeight="1">
      <c r="A8" s="1300" t="s">
        <v>2152</v>
      </c>
      <c r="B8" s="1300">
        <f ca="1">IF(C8&lt;B2,"已过期",1419970001)</f>
        <v>1419970001</v>
      </c>
      <c r="C8" s="2338">
        <v>45937</v>
      </c>
      <c r="D8" s="2339" t="str">
        <f t="shared" ca="1" si="0"/>
        <v>吴薇（注册号：1419970001）</v>
      </c>
      <c r="E8" s="2340" t="s">
        <v>2152</v>
      </c>
      <c r="F8" s="1300">
        <f ca="1">IF(G8&lt;B2,"已过期",2002110125)</f>
        <v>2002110125</v>
      </c>
      <c r="G8" s="2341">
        <v>47118</v>
      </c>
      <c r="H8" s="2342" t="str">
        <f t="shared" ca="1" si="1"/>
        <v>吴薇（注册号：2002110125）</v>
      </c>
    </row>
    <row r="9" spans="1:8" ht="24" customHeight="1">
      <c r="A9" s="1300" t="s">
        <v>2153</v>
      </c>
      <c r="B9" s="1300">
        <f ca="1">IF(C9&lt;B2,"已过期",1120060040)</f>
        <v>1120060040</v>
      </c>
      <c r="C9" s="2343">
        <v>45592</v>
      </c>
      <c r="D9" s="2339" t="str">
        <f t="shared" ca="1" si="0"/>
        <v>陈颖（注册号：1120060040）</v>
      </c>
      <c r="E9" s="2340" t="s">
        <v>2153</v>
      </c>
      <c r="F9" s="1300">
        <f ca="1">IF(G9&lt;B2,"已过期",2004110096)</f>
        <v>2004110096</v>
      </c>
      <c r="G9" s="2341">
        <v>47118</v>
      </c>
      <c r="H9" s="2342" t="str">
        <f t="shared" ca="1" si="1"/>
        <v>陈颖（注册号：2004110096）</v>
      </c>
    </row>
    <row r="10" spans="1:8" ht="24" customHeight="1">
      <c r="A10" s="1300" t="s">
        <v>2154</v>
      </c>
      <c r="B10" s="1300">
        <f ca="1">IF(C10&lt;B2,"已过期",1120100036)</f>
        <v>1120100036</v>
      </c>
      <c r="C10" s="2343">
        <v>45752</v>
      </c>
      <c r="D10" s="2339" t="str">
        <f t="shared" ca="1" si="0"/>
        <v>崔锴（注册号：1120100036）</v>
      </c>
      <c r="E10" s="2340" t="s">
        <v>2154</v>
      </c>
      <c r="F10" s="1300">
        <f ca="1">IF(G10&lt;B2,"已过期",2010110070)</f>
        <v>2010110070</v>
      </c>
      <c r="G10" s="2341">
        <v>47907</v>
      </c>
      <c r="H10" s="2342" t="str">
        <f t="shared" ca="1" si="1"/>
        <v>崔锴（注册号：2010110070）</v>
      </c>
    </row>
    <row r="11" spans="1:8" ht="24" customHeight="1">
      <c r="A11" s="1300" t="s">
        <v>2155</v>
      </c>
      <c r="B11" s="1300">
        <f ca="1">IF(C11&lt;B2,"已过期",1120070131)</f>
        <v>1120070131</v>
      </c>
      <c r="C11" s="2338">
        <v>45937</v>
      </c>
      <c r="D11" s="2339" t="str">
        <f t="shared" ca="1" si="0"/>
        <v>郑燚（注册号：1120070131）</v>
      </c>
      <c r="E11" s="2340" t="s">
        <v>2155</v>
      </c>
      <c r="F11" s="1300">
        <f ca="1">IF(G11&lt;B2,"已过期",2014110011)</f>
        <v>2014110011</v>
      </c>
      <c r="G11" s="2341">
        <v>49302</v>
      </c>
      <c r="H11" s="2342" t="str">
        <f t="shared" ca="1" si="1"/>
        <v>郑燚（注册号：2014110011）</v>
      </c>
    </row>
    <row r="12" spans="1:8" ht="24" customHeight="1">
      <c r="A12" s="1300" t="s">
        <v>2156</v>
      </c>
      <c r="B12" s="1300">
        <f ca="1">IF(C12&lt;B2,"已过期",1120040230)</f>
        <v>1120040230</v>
      </c>
      <c r="C12" s="2343">
        <v>45937</v>
      </c>
      <c r="D12" s="2339" t="str">
        <f t="shared" ca="1" si="0"/>
        <v>苏海（注册号：1120040230）</v>
      </c>
      <c r="E12" s="2340" t="s">
        <v>2156</v>
      </c>
      <c r="F12" s="1300">
        <f ca="1">IF(G12&lt;B2,"已过期",98030020)</f>
        <v>98030020</v>
      </c>
      <c r="G12" s="2341">
        <v>47118</v>
      </c>
      <c r="H12" s="2342" t="str">
        <f t="shared" ca="1" si="1"/>
        <v>苏海（注册号：98030020）</v>
      </c>
    </row>
    <row r="13" spans="1:8" ht="24" customHeight="1">
      <c r="A13" s="1300" t="s">
        <v>2157</v>
      </c>
      <c r="B13" s="1300">
        <f ca="1">IF(C13&lt;B2,"已过期",1120020033)</f>
        <v>1120020033</v>
      </c>
      <c r="C13" s="2338">
        <v>45375</v>
      </c>
      <c r="D13" s="2339" t="str">
        <f t="shared" ca="1" si="0"/>
        <v>刘敬东（注册号：1120020033）</v>
      </c>
      <c r="E13" s="2340" t="s">
        <v>2157</v>
      </c>
      <c r="F13" s="1300">
        <f ca="1">IF(G13&lt;B2,"已过期",2000110137)</f>
        <v>2000110137</v>
      </c>
      <c r="G13" s="2341">
        <v>46387</v>
      </c>
      <c r="H13" s="2342" t="str">
        <f t="shared" ca="1" si="1"/>
        <v>刘敬东（注册号：2000110137）</v>
      </c>
    </row>
    <row r="14" spans="1:8" ht="24" customHeight="1">
      <c r="A14" s="1300" t="s">
        <v>2158</v>
      </c>
      <c r="B14" s="1300" t="str">
        <f ca="1">IF(C14&lt;B2,"已过期",1119980106)</f>
        <v>已过期</v>
      </c>
      <c r="C14" s="2343">
        <v>44969</v>
      </c>
      <c r="D14" s="2339" t="str">
        <f t="shared" ca="1" si="0"/>
        <v>刘俊财（注册号：已过期）</v>
      </c>
      <c r="E14" s="2340" t="s">
        <v>2158</v>
      </c>
      <c r="F14" s="1300">
        <f ca="1">IF(G14&lt;B2,"已过期",96010063)</f>
        <v>96010063</v>
      </c>
      <c r="G14" s="2341">
        <v>47483</v>
      </c>
      <c r="H14" s="2342" t="str">
        <f t="shared" ca="1" si="1"/>
        <v>刘俊财（注册号：96010063）</v>
      </c>
    </row>
    <row r="15" spans="1:8" ht="24" customHeight="1">
      <c r="A15" s="1300" t="s">
        <v>2437</v>
      </c>
      <c r="B15" s="1300">
        <v>1120210056</v>
      </c>
      <c r="C15" s="2343">
        <v>45410</v>
      </c>
      <c r="D15" s="2339" t="str">
        <f t="shared" si="0"/>
        <v>宁小鳗（注册号：1120210056）</v>
      </c>
      <c r="E15" s="2340" t="s">
        <v>2159</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537" t="s">
        <v>2160</v>
      </c>
      <c r="B17" s="3537"/>
      <c r="C17" s="3537"/>
      <c r="D17" s="3537"/>
      <c r="E17" s="3537"/>
      <c r="F17" s="3537"/>
      <c r="G17" s="3537"/>
      <c r="H17" s="3537"/>
    </row>
    <row r="18" spans="1:8" ht="24" customHeight="1">
      <c r="A18" s="3538" t="s">
        <v>2161</v>
      </c>
      <c r="B18" s="3538"/>
      <c r="C18" s="3538"/>
      <c r="D18" s="2336"/>
      <c r="E18" s="3539" t="s">
        <v>2162</v>
      </c>
      <c r="F18" s="3538"/>
      <c r="G18" s="3538"/>
    </row>
    <row r="19" spans="1:8" s="2347" customFormat="1" ht="24" customHeight="1">
      <c r="A19" s="2346" t="s">
        <v>2163</v>
      </c>
      <c r="B19" s="2335" t="s">
        <v>2164</v>
      </c>
      <c r="C19" s="2335" t="s">
        <v>2143</v>
      </c>
      <c r="D19" s="2336"/>
      <c r="E19" s="2340" t="s">
        <v>2163</v>
      </c>
      <c r="F19" s="2335" t="s">
        <v>2164</v>
      </c>
      <c r="G19" s="2335" t="s">
        <v>2143</v>
      </c>
    </row>
    <row r="20" spans="1:8" s="2347" customFormat="1" ht="24" customHeight="1">
      <c r="A20" s="2348" t="s">
        <v>2165</v>
      </c>
      <c r="B20" s="2348" t="s">
        <v>2166</v>
      </c>
      <c r="C20" s="2341">
        <v>45898</v>
      </c>
      <c r="D20" s="2349"/>
      <c r="E20" s="2350" t="s">
        <v>2167</v>
      </c>
      <c r="F20" s="2353" t="s">
        <v>2438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招拍挂案例</vt:lpstr>
      <vt:lpstr>收益法 (元)</vt:lpstr>
      <vt:lpstr>收益法-酒店模型</vt:lpstr>
      <vt:lpstr>收益法（汇总）</vt:lpstr>
      <vt:lpstr>比较法-住宅</vt:lpstr>
      <vt:lpstr>共有产权房案例</vt:lpstr>
      <vt:lpstr>系统读取表</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2023-02-14T02:00:26Z</dcterms:modified>
</cp:coreProperties>
</file>