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440" windowHeight="5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基准地价修正" sheetId="43"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租金" sheetId="85"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市调" sheetId="92" r:id="rId47"/>
    <sheet name="Sheet1" sheetId="90"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34"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34">'比较法-租金'!$A$1:$K$54,'比较法-租金'!$A$57:$M$131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'比较法-租金'!$B$116:$M$116</definedName>
    <definedName name="商业层高">'比较法-商业'!$B$116:$M$116</definedName>
    <definedName name="商业成新度" localSheetId="34">'比较法-租金'!$B$109:$M$109</definedName>
    <definedName name="商业成新度">'比较法-商业'!$B$109:$M$109</definedName>
    <definedName name="商业繁华度">定义!$L$1:$L$6</definedName>
    <definedName name="商业公共部分装修" localSheetId="34">'比较法-租金'!$B$107:$M$107</definedName>
    <definedName name="商业公共部分装修">'比较法-商业'!$B$107:$M$107</definedName>
    <definedName name="商业基础设施水平" localSheetId="34">'比较法-租金'!$B$112:$M$112</definedName>
    <definedName name="商业基础设施水平">'比较法-商业'!$B$112:$M$112</definedName>
    <definedName name="商业建筑结构" localSheetId="34">'比较法-租金'!$B$105:$M$105</definedName>
    <definedName name="商业建筑结构">'比较法-商业'!$B$105:$M$105</definedName>
    <definedName name="商业交易情况" localSheetId="34">'比较法-租金'!$A$61:$M$61</definedName>
    <definedName name="商业交易情况">'比较法-商业'!$A$61:$M$61</definedName>
    <definedName name="商业街名称">修正!$C$71:$C$138</definedName>
    <definedName name="商业进深比" localSheetId="34">'比较法-租金'!$B$120:$M$120</definedName>
    <definedName name="商业进深比">'比较法-商业'!$B$120:$M$120</definedName>
    <definedName name="商业类型" localSheetId="34">'比较法-租金'!$B$100:$M$100</definedName>
    <definedName name="商业类型">'比较法-商业'!$B$100:$M$100</definedName>
    <definedName name="商业临街状况" localSheetId="34">'比较法-租金'!$B$86:$M$86</definedName>
    <definedName name="商业临街状况">'比较法-商业'!$B$86:$M$86</definedName>
    <definedName name="商业楼层" localSheetId="34">'比较法-租金'!$B$92:$M$92</definedName>
    <definedName name="商业楼层">'比较法-商业'!$B$92:$M$92</definedName>
    <definedName name="商业内部装修" localSheetId="34">'比较法-租金'!$B$122:$M$122</definedName>
    <definedName name="商业内部装修">'比较法-商业'!$B$122:$M$122</definedName>
    <definedName name="商业人流量" localSheetId="34">'比较法-租金'!$B$90:$M$90</definedName>
    <definedName name="商业人流量">'比较法-商业'!$B$90:$M$90</definedName>
    <definedName name="商业业态" localSheetId="34">'比较法-租金'!$B$114:$M$114</definedName>
    <definedName name="商业业态">'比较法-商业'!$B$114:$M$114</definedName>
    <definedName name="商业用途" localSheetId="34">'比较法-租金'!$B$63:$M$63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4" i="33" l="1"/>
  <c r="H104" i="33"/>
  <c r="N11" i="92"/>
  <c r="N9" i="92"/>
  <c r="J49" i="67"/>
  <c r="D33" i="43"/>
  <c r="U3" i="43"/>
  <c r="N19" i="1"/>
  <c r="H93" i="33" l="1"/>
  <c r="W20" i="1"/>
  <c r="U23" i="1"/>
  <c r="J52" i="67" l="1"/>
  <c r="D93" i="33" l="1"/>
  <c r="F104" i="85" l="1"/>
  <c r="G104" i="85" s="1"/>
  <c r="E104" i="85"/>
  <c r="E104" i="33" l="1"/>
  <c r="F104" i="33" s="1"/>
  <c r="G104" i="33" s="1"/>
  <c r="V22" i="1" l="1"/>
  <c r="T20" i="1"/>
  <c r="F93" i="85"/>
  <c r="D93" i="85"/>
  <c r="U21" i="1" l="1"/>
  <c r="BB13" i="3"/>
  <c r="BA13" i="3" s="1"/>
  <c r="E5" i="6"/>
  <c r="D9" i="69" s="1"/>
  <c r="C9" i="69" s="1"/>
  <c r="G2" i="43"/>
  <c r="C27" i="43" s="1"/>
  <c r="D3" i="4"/>
  <c r="B2" i="1" s="1"/>
  <c r="I2" i="43"/>
  <c r="M5" i="43" s="1"/>
  <c r="M21" i="43"/>
  <c r="N5" i="43"/>
  <c r="D54" i="43"/>
  <c r="C19" i="69"/>
  <c r="F20" i="69"/>
  <c r="C1" i="73"/>
  <c r="J1" i="73" s="1"/>
  <c r="F21" i="69"/>
  <c r="C21" i="69"/>
  <c r="B43" i="1"/>
  <c r="B41" i="1"/>
  <c r="F30" i="69" s="1"/>
  <c r="F48" i="69" s="1"/>
  <c r="F35" i="69"/>
  <c r="AP6" i="1"/>
  <c r="AP7" i="1"/>
  <c r="AP8" i="1"/>
  <c r="AP9" i="1"/>
  <c r="AP10" i="1"/>
  <c r="AP11" i="1"/>
  <c r="AP12" i="1"/>
  <c r="AP13" i="1"/>
  <c r="F36" i="69"/>
  <c r="C40" i="69"/>
  <c r="F19" i="6"/>
  <c r="E19" i="6" s="1"/>
  <c r="A6" i="1"/>
  <c r="F3" i="35" s="1"/>
  <c r="K7" i="1"/>
  <c r="M7" i="1" s="1"/>
  <c r="K8" i="1"/>
  <c r="M8" i="1" s="1"/>
  <c r="K9" i="1"/>
  <c r="M9" i="1" s="1"/>
  <c r="K10" i="1"/>
  <c r="M10" i="1" s="1"/>
  <c r="K11" i="1"/>
  <c r="M11" i="1" s="1"/>
  <c r="K12" i="1"/>
  <c r="M12" i="1" s="1"/>
  <c r="K13" i="1"/>
  <c r="M13" i="1" s="1"/>
  <c r="K14" i="1"/>
  <c r="M14" i="1" s="1"/>
  <c r="N6" i="1"/>
  <c r="C36" i="85" s="1"/>
  <c r="G1" i="67"/>
  <c r="H13" i="3"/>
  <c r="G13" i="3" s="1"/>
  <c r="L19" i="6"/>
  <c r="M47" i="67"/>
  <c r="F15" i="67"/>
  <c r="F20" i="67"/>
  <c r="F21" i="67"/>
  <c r="Y6" i="1"/>
  <c r="C17" i="9"/>
  <c r="D17" i="9"/>
  <c r="U22" i="1"/>
  <c r="U6" i="1" s="1"/>
  <c r="B130" i="85"/>
  <c r="B128" i="85"/>
  <c r="B126" i="85"/>
  <c r="D125" i="85"/>
  <c r="E125" i="85"/>
  <c r="F125" i="85"/>
  <c r="G125" i="85"/>
  <c r="D123" i="85"/>
  <c r="E123" i="85"/>
  <c r="F123" i="85"/>
  <c r="G123" i="85"/>
  <c r="H123" i="85"/>
  <c r="I123" i="85"/>
  <c r="J123" i="85"/>
  <c r="K123" i="85"/>
  <c r="L123" i="85"/>
  <c r="M123" i="85"/>
  <c r="D121" i="85"/>
  <c r="E121" i="85"/>
  <c r="F121" i="85"/>
  <c r="G121" i="85"/>
  <c r="H121" i="85"/>
  <c r="I121" i="85"/>
  <c r="J121" i="85"/>
  <c r="K121" i="85"/>
  <c r="L121" i="85"/>
  <c r="M121" i="85"/>
  <c r="D117" i="85"/>
  <c r="E117" i="85"/>
  <c r="F117" i="85"/>
  <c r="G117" i="85"/>
  <c r="D115" i="85"/>
  <c r="E115" i="85" s="1"/>
  <c r="F115" i="85" s="1"/>
  <c r="G115" i="85" s="1"/>
  <c r="H115" i="85" s="1"/>
  <c r="I115" i="85" s="1"/>
  <c r="J115" i="85" s="1"/>
  <c r="K115" i="85" s="1"/>
  <c r="L115" i="85" s="1"/>
  <c r="M115" i="85" s="1"/>
  <c r="D113" i="85"/>
  <c r="E113" i="85" s="1"/>
  <c r="D111" i="85"/>
  <c r="E111" i="85" s="1"/>
  <c r="F111" i="85" s="1"/>
  <c r="G111" i="85" s="1"/>
  <c r="H111" i="85" s="1"/>
  <c r="I111" i="85" s="1"/>
  <c r="J111" i="85" s="1"/>
  <c r="K111" i="85" s="1"/>
  <c r="L111" i="85" s="1"/>
  <c r="M111" i="85" s="1"/>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s="1"/>
  <c r="B74" i="85"/>
  <c r="B72" i="85"/>
  <c r="B70" i="85"/>
  <c r="D69" i="85"/>
  <c r="E69" i="85"/>
  <c r="F69" i="85"/>
  <c r="G69" i="85"/>
  <c r="H69" i="85"/>
  <c r="I69" i="85"/>
  <c r="J69" i="85"/>
  <c r="K69" i="85"/>
  <c r="L69" i="85"/>
  <c r="M69" i="85"/>
  <c r="M67" i="85"/>
  <c r="L67" i="85"/>
  <c r="K67" i="85"/>
  <c r="J67" i="85"/>
  <c r="I67" i="85"/>
  <c r="H67" i="85"/>
  <c r="G67" i="85"/>
  <c r="F67" i="85"/>
  <c r="E67" i="85"/>
  <c r="D67" i="85"/>
  <c r="C67" i="85"/>
  <c r="C63" i="85"/>
  <c r="I54" i="85"/>
  <c r="J54" i="85" s="1"/>
  <c r="G54" i="85"/>
  <c r="H54" i="85"/>
  <c r="E54" i="85"/>
  <c r="F54" i="85" s="1"/>
  <c r="V47" i="85"/>
  <c r="J8" i="85"/>
  <c r="AC8" i="85"/>
  <c r="J9" i="85"/>
  <c r="AC9" i="85"/>
  <c r="J10" i="85"/>
  <c r="AC10" i="85"/>
  <c r="J11" i="85"/>
  <c r="AC11" i="85"/>
  <c r="J12" i="85"/>
  <c r="AC12" i="85"/>
  <c r="J13" i="85"/>
  <c r="AC13" i="85"/>
  <c r="J14" i="85"/>
  <c r="AC14" i="85"/>
  <c r="J17" i="85"/>
  <c r="AC17" i="85" s="1"/>
  <c r="J19" i="85"/>
  <c r="AC19" i="85" s="1"/>
  <c r="J21" i="85"/>
  <c r="AC21" i="85"/>
  <c r="J23" i="85"/>
  <c r="AC23" i="85"/>
  <c r="J25" i="85"/>
  <c r="AC25" i="85"/>
  <c r="J26" i="85"/>
  <c r="AC26" i="85"/>
  <c r="J27" i="85"/>
  <c r="AC27" i="85" s="1"/>
  <c r="J28" i="85"/>
  <c r="AC28" i="85" s="1"/>
  <c r="J29" i="85"/>
  <c r="AC29" i="85"/>
  <c r="J30" i="85"/>
  <c r="AC30" i="85"/>
  <c r="J31" i="85"/>
  <c r="AC31" i="85"/>
  <c r="J32" i="85"/>
  <c r="AC32" i="85" s="1"/>
  <c r="C33" i="85"/>
  <c r="J33" i="85"/>
  <c r="AC33" i="85" s="1"/>
  <c r="J34" i="85"/>
  <c r="AC34" i="85"/>
  <c r="J35" i="85"/>
  <c r="AC35" i="85"/>
  <c r="J39" i="85"/>
  <c r="AC39" i="85"/>
  <c r="J40" i="85"/>
  <c r="AC40" i="85"/>
  <c r="J41" i="85"/>
  <c r="AC41" i="85"/>
  <c r="J42" i="85"/>
  <c r="AC42" i="85" s="1"/>
  <c r="J43" i="85"/>
  <c r="AC43" i="85"/>
  <c r="J44" i="85"/>
  <c r="AC44" i="85"/>
  <c r="J45" i="85"/>
  <c r="AC45" i="85"/>
  <c r="J46" i="85"/>
  <c r="AC46" i="85"/>
  <c r="R47" i="85"/>
  <c r="F8" i="85"/>
  <c r="AA8" i="85"/>
  <c r="F9" i="85"/>
  <c r="AA9" i="85"/>
  <c r="F10" i="85"/>
  <c r="AA10" i="85"/>
  <c r="F11" i="85"/>
  <c r="AA11" i="85"/>
  <c r="F12" i="85"/>
  <c r="AA12" i="85"/>
  <c r="F13" i="85"/>
  <c r="AA13" i="85"/>
  <c r="F14" i="85"/>
  <c r="AA14" i="85"/>
  <c r="F15" i="85"/>
  <c r="AA15" i="85" s="1"/>
  <c r="F17" i="85"/>
  <c r="AA17" i="85"/>
  <c r="F19" i="85"/>
  <c r="AA19" i="85"/>
  <c r="F21" i="85"/>
  <c r="AA21" i="85"/>
  <c r="F23" i="85"/>
  <c r="AA23" i="85"/>
  <c r="F25" i="85"/>
  <c r="AA25" i="85" s="1"/>
  <c r="F26" i="85"/>
  <c r="AA26" i="85" s="1"/>
  <c r="F27" i="85"/>
  <c r="AA27" i="85" s="1"/>
  <c r="F28" i="85"/>
  <c r="AA28" i="85" s="1"/>
  <c r="F29" i="85"/>
  <c r="AA29" i="85"/>
  <c r="F30" i="85"/>
  <c r="AA30" i="85"/>
  <c r="F31" i="85"/>
  <c r="AA31" i="85"/>
  <c r="F32" i="85"/>
  <c r="AA32" i="85" s="1"/>
  <c r="F33" i="85"/>
  <c r="AA33" i="85" s="1"/>
  <c r="F34" i="85"/>
  <c r="AA34" i="85"/>
  <c r="F35" i="85"/>
  <c r="AA35" i="85"/>
  <c r="F38" i="85"/>
  <c r="AA38" i="85" s="1"/>
  <c r="F39" i="85"/>
  <c r="AA39" i="85"/>
  <c r="F40" i="85"/>
  <c r="AA40" i="85"/>
  <c r="F41" i="85"/>
  <c r="AA41" i="85"/>
  <c r="F42" i="85"/>
  <c r="AA42" i="85" s="1"/>
  <c r="F43" i="85"/>
  <c r="AA43" i="85"/>
  <c r="F44" i="85"/>
  <c r="AA44" i="85"/>
  <c r="F45" i="85"/>
  <c r="AA45" i="85"/>
  <c r="F46" i="85"/>
  <c r="AA46" i="85"/>
  <c r="T47" i="85"/>
  <c r="H8" i="85"/>
  <c r="AB8" i="85"/>
  <c r="H9" i="85"/>
  <c r="AB9" i="85"/>
  <c r="H10" i="85"/>
  <c r="AB10" i="85"/>
  <c r="H11" i="85"/>
  <c r="AB11" i="85"/>
  <c r="H12" i="85"/>
  <c r="AB12" i="85"/>
  <c r="H13" i="85"/>
  <c r="AB13" i="85"/>
  <c r="H14" i="85"/>
  <c r="AB14" i="85"/>
  <c r="H17" i="85"/>
  <c r="AB17" i="85"/>
  <c r="H19" i="85"/>
  <c r="AB19" i="85"/>
  <c r="H21" i="85"/>
  <c r="AB21" i="85"/>
  <c r="H23" i="85"/>
  <c r="AB23" i="85"/>
  <c r="H25" i="85"/>
  <c r="AB25" i="85"/>
  <c r="H26" i="85"/>
  <c r="AB26" i="85"/>
  <c r="H27" i="85"/>
  <c r="AB27" i="85"/>
  <c r="H28" i="85"/>
  <c r="AB28" i="85" s="1"/>
  <c r="H29" i="85"/>
  <c r="AB29" i="85"/>
  <c r="H30" i="85"/>
  <c r="AB30" i="85"/>
  <c r="H31" i="85"/>
  <c r="AB31" i="85"/>
  <c r="H32" i="85"/>
  <c r="AB32" i="85" s="1"/>
  <c r="H33" i="85"/>
  <c r="AB33" i="85" s="1"/>
  <c r="H34" i="85"/>
  <c r="AB34" i="85"/>
  <c r="H35" i="85"/>
  <c r="AB35" i="85"/>
  <c r="H38" i="85"/>
  <c r="AB38" i="85" s="1"/>
  <c r="H39" i="85"/>
  <c r="AB39" i="85"/>
  <c r="H40" i="85"/>
  <c r="AB40" i="85"/>
  <c r="H41" i="85"/>
  <c r="AB41" i="85"/>
  <c r="H42" i="85"/>
  <c r="AB42" i="85"/>
  <c r="H43" i="85"/>
  <c r="AB43" i="85"/>
  <c r="H44" i="85"/>
  <c r="AB44" i="85"/>
  <c r="H45" i="85"/>
  <c r="AB45" i="85"/>
  <c r="H46" i="85"/>
  <c r="AB46" i="85"/>
  <c r="P49" i="85"/>
  <c r="P48" i="85"/>
  <c r="K48" i="85"/>
  <c r="P47" i="85"/>
  <c r="Q46" i="85"/>
  <c r="Z46" i="85"/>
  <c r="W46" i="85"/>
  <c r="U46" i="85"/>
  <c r="S46" i="85"/>
  <c r="Q45" i="85"/>
  <c r="Z45" i="85"/>
  <c r="W45" i="85"/>
  <c r="U45" i="85"/>
  <c r="S45" i="85"/>
  <c r="Q44" i="85"/>
  <c r="Z44" i="85"/>
  <c r="W44" i="85"/>
  <c r="U44" i="85"/>
  <c r="S44" i="85"/>
  <c r="Q43" i="85"/>
  <c r="Z43" i="85"/>
  <c r="W43" i="85"/>
  <c r="U43" i="85"/>
  <c r="S43" i="85"/>
  <c r="Q42" i="85"/>
  <c r="Z42" i="85"/>
  <c r="W42" i="85"/>
  <c r="U42" i="85"/>
  <c r="Q41" i="85"/>
  <c r="Z41" i="85"/>
  <c r="W41" i="85"/>
  <c r="U41" i="85"/>
  <c r="S41" i="85"/>
  <c r="Q40" i="85"/>
  <c r="Z40" i="85"/>
  <c r="W40" i="85"/>
  <c r="U40" i="85"/>
  <c r="S40" i="85"/>
  <c r="Q39" i="85"/>
  <c r="Z39" i="85"/>
  <c r="W39" i="85"/>
  <c r="U39" i="85"/>
  <c r="S39" i="85"/>
  <c r="Q38" i="85"/>
  <c r="Z38" i="85"/>
  <c r="U38" i="85"/>
  <c r="Q37" i="85"/>
  <c r="Z37" i="85"/>
  <c r="Q36" i="85"/>
  <c r="Z36" i="85"/>
  <c r="Q35" i="85"/>
  <c r="Z35" i="85"/>
  <c r="W35" i="85"/>
  <c r="U35" i="85"/>
  <c r="S35" i="85"/>
  <c r="Q34" i="85"/>
  <c r="Z34" i="85"/>
  <c r="W34" i="85"/>
  <c r="U34" i="85"/>
  <c r="S34" i="85"/>
  <c r="Q33" i="85"/>
  <c r="Z33" i="85"/>
  <c r="S33" i="85"/>
  <c r="Q32" i="85"/>
  <c r="Z32" i="85"/>
  <c r="U32" i="85"/>
  <c r="Q31" i="85"/>
  <c r="Z31" i="85"/>
  <c r="W31" i="85"/>
  <c r="U31" i="85"/>
  <c r="S31" i="85"/>
  <c r="Q30" i="85"/>
  <c r="Z30" i="85"/>
  <c r="W30" i="85"/>
  <c r="U30" i="85"/>
  <c r="S30" i="85"/>
  <c r="Q29" i="85"/>
  <c r="Z29" i="85"/>
  <c r="W29" i="85"/>
  <c r="U29" i="85"/>
  <c r="S29" i="85"/>
  <c r="Q28" i="85"/>
  <c r="Z28" i="85"/>
  <c r="W28" i="85"/>
  <c r="U28" i="85"/>
  <c r="Q27" i="85"/>
  <c r="Z27" i="85"/>
  <c r="W27" i="85"/>
  <c r="U27" i="85"/>
  <c r="S27" i="85"/>
  <c r="Q26" i="85"/>
  <c r="Z26" i="85"/>
  <c r="W26" i="85"/>
  <c r="U26" i="85"/>
  <c r="Q25" i="85"/>
  <c r="Z25" i="85"/>
  <c r="W25" i="85"/>
  <c r="U25" i="85"/>
  <c r="S25" i="85"/>
  <c r="Q23" i="85"/>
  <c r="Z23" i="85"/>
  <c r="W23" i="85"/>
  <c r="U23" i="85"/>
  <c r="S23" i="85"/>
  <c r="C23" i="85"/>
  <c r="Q21" i="85"/>
  <c r="Z21" i="85"/>
  <c r="W21" i="85"/>
  <c r="U21" i="85"/>
  <c r="S21" i="85"/>
  <c r="C21" i="85"/>
  <c r="Q19" i="85"/>
  <c r="Z19" i="85"/>
  <c r="W19" i="85"/>
  <c r="U19" i="85"/>
  <c r="S19" i="85"/>
  <c r="C19" i="85"/>
  <c r="Q17" i="85"/>
  <c r="Z17" i="85"/>
  <c r="W17" i="85"/>
  <c r="U17" i="85"/>
  <c r="S17" i="85"/>
  <c r="C17" i="85"/>
  <c r="Q15" i="85"/>
  <c r="Z15" i="85"/>
  <c r="C15" i="85"/>
  <c r="Q14" i="85"/>
  <c r="Z14" i="85"/>
  <c r="W14" i="85"/>
  <c r="U14" i="85"/>
  <c r="S14" i="85"/>
  <c r="Q13" i="85"/>
  <c r="Z13" i="85"/>
  <c r="W13" i="85"/>
  <c r="U13" i="85"/>
  <c r="S13" i="85"/>
  <c r="Q12" i="85"/>
  <c r="Z12" i="85"/>
  <c r="W12" i="85"/>
  <c r="U12" i="85"/>
  <c r="S12" i="85"/>
  <c r="Q11" i="85"/>
  <c r="Z11" i="85"/>
  <c r="W11" i="85"/>
  <c r="U11" i="85"/>
  <c r="S11" i="85"/>
  <c r="Q10" i="85"/>
  <c r="Z10" i="85"/>
  <c r="W10" i="85"/>
  <c r="U10" i="85"/>
  <c r="S10" i="85"/>
  <c r="Q9" i="85"/>
  <c r="Z9" i="85"/>
  <c r="W9" i="85"/>
  <c r="U9" i="85"/>
  <c r="S9" i="85"/>
  <c r="W8" i="85"/>
  <c r="U8" i="85"/>
  <c r="S8" i="85"/>
  <c r="F7" i="31"/>
  <c r="D7" i="31"/>
  <c r="E7" i="31"/>
  <c r="C7" i="31"/>
  <c r="D5" i="31"/>
  <c r="E5" i="31"/>
  <c r="F5" i="31"/>
  <c r="G5" i="31"/>
  <c r="H5" i="31"/>
  <c r="I5" i="31"/>
  <c r="C5" i="31"/>
  <c r="D4" i="31"/>
  <c r="E4" i="31"/>
  <c r="F4" i="31"/>
  <c r="G4" i="31"/>
  <c r="H4" i="31"/>
  <c r="I4" i="31"/>
  <c r="C4" i="31"/>
  <c r="H3" i="31"/>
  <c r="I3" i="31"/>
  <c r="D3" i="31"/>
  <c r="E3" i="31"/>
  <c r="F3" i="31"/>
  <c r="G3" i="31"/>
  <c r="C3" i="31"/>
  <c r="A24" i="31"/>
  <c r="N8" i="43"/>
  <c r="C36" i="33"/>
  <c r="C33" i="33"/>
  <c r="P26" i="79"/>
  <c r="P27" i="79"/>
  <c r="L26" i="79"/>
  <c r="M26" i="79"/>
  <c r="N26" i="79"/>
  <c r="L27" i="79"/>
  <c r="M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s="1"/>
  <c r="D7" i="78" s="1"/>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P5" i="79"/>
  <c r="O5" i="79"/>
  <c r="N5" i="79"/>
  <c r="M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S6" i="43"/>
  <c r="S4" i="43"/>
  <c r="E93" i="43"/>
  <c r="B91" i="43"/>
  <c r="S3" i="43"/>
  <c r="F37" i="43"/>
  <c r="F39" i="43"/>
  <c r="F41" i="43"/>
  <c r="N1" i="43"/>
  <c r="M2" i="43"/>
  <c r="N2" i="43"/>
  <c r="M3" i="43"/>
  <c r="N3" i="43"/>
  <c r="M4" i="43"/>
  <c r="N4" i="43"/>
  <c r="F93" i="43"/>
  <c r="N10" i="43"/>
  <c r="N11" i="43"/>
  <c r="M6" i="43"/>
  <c r="N6" i="43"/>
  <c r="M7" i="43"/>
  <c r="N7" i="43"/>
  <c r="M8" i="43"/>
  <c r="M9" i="43"/>
  <c r="N9" i="43"/>
  <c r="M10" i="43"/>
  <c r="M11" i="43"/>
  <c r="M12" i="43"/>
  <c r="C21" i="43"/>
  <c r="I21" i="43"/>
  <c r="O21" i="43"/>
  <c r="H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s="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c r="A120" i="9"/>
  <c r="H2" i="52"/>
  <c r="A1" i="52"/>
  <c r="A3" i="53"/>
  <c r="Q26" i="71"/>
  <c r="P26" i="71"/>
  <c r="O26" i="71"/>
  <c r="N26" i="71"/>
  <c r="A15" i="51"/>
  <c r="B12" i="72" s="1"/>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H21" i="33"/>
  <c r="F21" i="33"/>
  <c r="S21" i="33"/>
  <c r="E83" i="21"/>
  <c r="S21" i="21"/>
  <c r="H1" i="69"/>
  <c r="AC25" i="40"/>
  <c r="W25" i="40"/>
  <c r="AB25" i="40"/>
  <c r="U25" i="40"/>
  <c r="U29" i="39"/>
  <c r="W29" i="39"/>
  <c r="AC18" i="36"/>
  <c r="W18" i="36"/>
  <c r="AB21" i="37"/>
  <c r="U21" i="37"/>
  <c r="AA21" i="37"/>
  <c r="S21" i="37"/>
  <c r="AB21" i="34"/>
  <c r="U21" i="34"/>
  <c r="U21" i="33"/>
  <c r="AB21" i="33"/>
  <c r="AA21" i="33"/>
  <c r="AB18" i="35"/>
  <c r="U18" i="35"/>
  <c r="AC18" i="35"/>
  <c r="W18" i="35"/>
  <c r="G77" i="37"/>
  <c r="J21" i="37"/>
  <c r="G84" i="34"/>
  <c r="J21" i="34"/>
  <c r="J21" i="33"/>
  <c r="W21" i="33"/>
  <c r="F83" i="21"/>
  <c r="H21" i="21"/>
  <c r="F38" i="69"/>
  <c r="E37" i="69"/>
  <c r="F40" i="69"/>
  <c r="F39" i="69"/>
  <c r="E10" i="69"/>
  <c r="E9" i="69"/>
  <c r="AC21" i="37"/>
  <c r="W21" i="37"/>
  <c r="AC21" i="34"/>
  <c r="W21" i="34"/>
  <c r="AC21" i="33"/>
  <c r="AB21" i="21"/>
  <c r="U21" i="21"/>
  <c r="G83" i="21"/>
  <c r="J21" i="21"/>
  <c r="F38" i="68"/>
  <c r="E37" i="68"/>
  <c r="F36" i="68"/>
  <c r="F35" i="68"/>
  <c r="F21" i="68"/>
  <c r="F40" i="68"/>
  <c r="F20" i="68"/>
  <c r="F39" i="68"/>
  <c r="E10" i="68"/>
  <c r="E9" i="68"/>
  <c r="W21" i="21"/>
  <c r="AC21" i="21"/>
  <c r="C40" i="68"/>
  <c r="Q72" i="67"/>
  <c r="Q59" i="67"/>
  <c r="Q58" i="67"/>
  <c r="Q51" i="67"/>
  <c r="J50" i="67"/>
  <c r="D46" i="67"/>
  <c r="F33" i="67"/>
  <c r="F61" i="67"/>
  <c r="F23" i="67"/>
  <c r="D24" i="67"/>
  <c r="M19" i="67"/>
  <c r="F18" i="67"/>
  <c r="F17" i="67"/>
  <c r="S2" i="4"/>
  <c r="C51" i="10" s="1"/>
  <c r="A13" i="51" s="1"/>
  <c r="B11" i="72" s="1"/>
  <c r="S1" i="4"/>
  <c r="B1" i="4"/>
  <c r="B37" i="48" s="1"/>
  <c r="B2" i="72" s="1"/>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A11" i="1"/>
  <c r="B11" i="1"/>
  <c r="E11" i="1"/>
  <c r="A12" i="1"/>
  <c r="A13"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c r="C57" i="40" s="1"/>
  <c r="H56" i="40"/>
  <c r="I56" i="40"/>
  <c r="C56" i="40"/>
  <c r="H54" i="40"/>
  <c r="I54" i="40" s="1"/>
  <c r="C54" i="40" s="1"/>
  <c r="H53" i="40"/>
  <c r="I53" i="40" s="1"/>
  <c r="C53" i="40" s="1"/>
  <c r="H52" i="40"/>
  <c r="I52" i="40"/>
  <c r="C52" i="40" s="1"/>
  <c r="H64" i="39"/>
  <c r="I64" i="39"/>
  <c r="C64" i="39"/>
  <c r="H63" i="39"/>
  <c r="I63" i="39" s="1"/>
  <c r="C63" i="39" s="1"/>
  <c r="H59" i="39"/>
  <c r="I59" i="39" s="1"/>
  <c r="C59" i="39" s="1"/>
  <c r="H58" i="39"/>
  <c r="I58" i="39"/>
  <c r="C58" i="39" s="1"/>
  <c r="H57" i="39"/>
  <c r="I57" i="39" s="1"/>
  <c r="C57" i="39" s="1"/>
  <c r="H60" i="39"/>
  <c r="I60" i="39"/>
  <c r="C60" i="39"/>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s="1"/>
  <c r="A4" i="62"/>
  <c r="B70" i="72"/>
  <c r="F33" i="9"/>
  <c r="B13" i="53"/>
  <c r="B29" i="72"/>
  <c r="R35" i="4"/>
  <c r="Q35" i="4"/>
  <c r="P35" i="4"/>
  <c r="O35" i="4"/>
  <c r="N35" i="4"/>
  <c r="M35" i="4"/>
  <c r="L35" i="4"/>
  <c r="K34" i="4"/>
  <c r="T34" i="4"/>
  <c r="G13" i="1"/>
  <c r="H15" i="4"/>
  <c r="F9" i="1"/>
  <c r="G9" i="1" s="1"/>
  <c r="G15" i="4"/>
  <c r="F12" i="1"/>
  <c r="G12" i="1" s="1"/>
  <c r="F15" i="4"/>
  <c r="F11" i="1"/>
  <c r="G11" i="1" s="1"/>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c r="E22" i="6"/>
  <c r="E23" i="6"/>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I55" i="9"/>
  <c r="F55" i="9"/>
  <c r="O53" i="9"/>
  <c r="D89" i="9"/>
  <c r="C89" i="9"/>
  <c r="C87" i="9"/>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29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D111" i="33"/>
  <c r="E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s="1"/>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s="1"/>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E113" i="33"/>
  <c r="F37" i="33" s="1"/>
  <c r="F32" i="33"/>
  <c r="AA32" i="33" s="1"/>
  <c r="F11" i="33"/>
  <c r="AA11" i="33"/>
  <c r="U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J10" i="36"/>
  <c r="AC10" i="36"/>
  <c r="AB30" i="21"/>
  <c r="AA14" i="37"/>
  <c r="W31" i="34"/>
  <c r="AC13" i="36"/>
  <c r="W13" i="36"/>
  <c r="S11" i="36"/>
  <c r="AB46" i="34"/>
  <c r="AC30" i="34"/>
  <c r="AA14" i="34"/>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E123" i="33"/>
  <c r="J42"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S27"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72" i="43"/>
  <c r="H75" i="43" s="1"/>
  <c r="U17" i="39"/>
  <c r="S14" i="35"/>
  <c r="U43" i="21"/>
  <c r="U35" i="21"/>
  <c r="AC35" i="21"/>
  <c r="G8" i="1"/>
  <c r="G10" i="1"/>
  <c r="AC11" i="39"/>
  <c r="AZ563" i="3"/>
  <c r="AZ501" i="3"/>
  <c r="W37" i="37"/>
  <c r="W44" i="34"/>
  <c r="AC44" i="34"/>
  <c r="S15" i="37"/>
  <c r="U13" i="37"/>
  <c r="U12" i="40"/>
  <c r="AA12" i="40"/>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S13" i="1"/>
  <c r="AR13" i="1" s="1"/>
  <c r="R13"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29" i="33"/>
  <c r="AB29" i="33"/>
  <c r="H41" i="33"/>
  <c r="F121" i="33"/>
  <c r="G121" i="33"/>
  <c r="H121" i="33"/>
  <c r="I121" i="33"/>
  <c r="J121" i="33"/>
  <c r="K121" i="33"/>
  <c r="L121" i="33"/>
  <c r="M121" i="33"/>
  <c r="U42" i="33"/>
  <c r="S42" i="33"/>
  <c r="J35" i="33"/>
  <c r="W35" i="33"/>
  <c r="S39" i="33"/>
  <c r="S46" i="33"/>
  <c r="S43" i="33"/>
  <c r="J17" i="33"/>
  <c r="AC17"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c r="D7" i="52"/>
  <c r="F34" i="67"/>
  <c r="F62" i="67" s="1"/>
  <c r="F34" i="15"/>
  <c r="F62" i="15" s="1"/>
  <c r="BL17" i="3"/>
  <c r="AZ17" i="3"/>
  <c r="BL13" i="3"/>
  <c r="BL5" i="3"/>
  <c r="J56" i="9"/>
  <c r="J57" i="9"/>
  <c r="J59" i="9"/>
  <c r="J61" i="9"/>
  <c r="U29" i="34"/>
  <c r="E32" i="6"/>
  <c r="E19" i="69"/>
  <c r="E19" i="68"/>
  <c r="E19" i="11"/>
  <c r="E1" i="73"/>
  <c r="G22" i="69"/>
  <c r="G22" i="68"/>
  <c r="G26" i="12"/>
  <c r="G22" i="11"/>
  <c r="B19" i="53"/>
  <c r="B37" i="72"/>
  <c r="A4" i="51"/>
  <c r="B6" i="72" s="1"/>
  <c r="L20" i="6"/>
  <c r="O11" i="1"/>
  <c r="B9" i="1"/>
  <c r="E9"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F30" i="11"/>
  <c r="C48" i="11" s="1"/>
  <c r="F31" i="12"/>
  <c r="M18" i="67"/>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H17" i="33"/>
  <c r="AB17" i="33"/>
  <c r="F17" i="33"/>
  <c r="AA17" i="33"/>
  <c r="W17" i="33"/>
  <c r="S37" i="21"/>
  <c r="AA23" i="21"/>
  <c r="AB15" i="21"/>
  <c r="J23" i="21"/>
  <c r="F85" i="21"/>
  <c r="G85" i="21"/>
  <c r="H23" i="21"/>
  <c r="S13" i="21"/>
  <c r="D6" i="52"/>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U17" i="33"/>
  <c r="U23" i="21"/>
  <c r="AB23" i="21"/>
  <c r="AC23" i="21"/>
  <c r="W23" i="21"/>
  <c r="H109" i="9"/>
  <c r="D16" i="53"/>
  <c r="B34" i="72"/>
  <c r="H112" i="9"/>
  <c r="C8" i="74"/>
  <c r="D21" i="53"/>
  <c r="B39" i="72"/>
  <c r="H111" i="9"/>
  <c r="D126" i="9"/>
  <c r="D19" i="53"/>
  <c r="B38" i="72"/>
  <c r="AD3" i="71"/>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J32" i="33"/>
  <c r="W32" i="33" s="1"/>
  <c r="W38" i="33"/>
  <c r="F27" i="33"/>
  <c r="S27" i="33" s="1"/>
  <c r="AC28" i="33"/>
  <c r="AB26" i="33"/>
  <c r="S26" i="33"/>
  <c r="S17" i="33"/>
  <c r="M20" i="67"/>
  <c r="W40" i="33"/>
  <c r="AC42" i="33"/>
  <c r="W42" i="33"/>
  <c r="H37" i="33"/>
  <c r="U37" i="33" s="1"/>
  <c r="W43" i="33"/>
  <c r="AA34" i="33"/>
  <c r="U43" i="33"/>
  <c r="W39" i="33"/>
  <c r="U35" i="33"/>
  <c r="AC35" i="33"/>
  <c r="AA35" i="33"/>
  <c r="AB34" i="33"/>
  <c r="AC34" i="33"/>
  <c r="U33" i="33"/>
  <c r="W33" i="33"/>
  <c r="S32" i="33"/>
  <c r="F85" i="33"/>
  <c r="G85" i="33"/>
  <c r="H23" i="33"/>
  <c r="AB23" i="33"/>
  <c r="F23" i="33"/>
  <c r="S23" i="33"/>
  <c r="J23" i="33"/>
  <c r="F81" i="33"/>
  <c r="G81" i="33"/>
  <c r="H19" i="33"/>
  <c r="F19" i="33"/>
  <c r="S19" i="33"/>
  <c r="J19" i="33"/>
  <c r="AC19" i="33"/>
  <c r="F77" i="33"/>
  <c r="G77" i="33"/>
  <c r="F15" i="33"/>
  <c r="J15" i="33"/>
  <c r="AC15" i="33" s="1"/>
  <c r="H15" i="33"/>
  <c r="AA23" i="33"/>
  <c r="W19" i="33"/>
  <c r="U23" i="33"/>
  <c r="AA19" i="33"/>
  <c r="W8" i="33"/>
  <c r="A24" i="51"/>
  <c r="B18" i="72"/>
  <c r="F54" i="9"/>
  <c r="F28" i="15"/>
  <c r="F32" i="15"/>
  <c r="F60" i="15"/>
  <c r="F32" i="67"/>
  <c r="F60" i="67"/>
  <c r="F52" i="9"/>
  <c r="F30" i="68"/>
  <c r="F48" i="68" s="1"/>
  <c r="C21" i="68"/>
  <c r="B6" i="1"/>
  <c r="E6" i="1" s="1"/>
  <c r="G1" i="68"/>
  <c r="G28" i="6"/>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W8" i="21"/>
  <c r="S8" i="21"/>
  <c r="AA11" i="21"/>
  <c r="AC11" i="21"/>
  <c r="AB11" i="21"/>
  <c r="F53" i="9"/>
  <c r="C5" i="11"/>
  <c r="C4" i="12"/>
  <c r="E14" i="6"/>
  <c r="E63" i="39" s="1"/>
  <c r="I4" i="6"/>
  <c r="G3" i="43"/>
  <c r="F26" i="43"/>
  <c r="E29" i="6"/>
  <c r="K15" i="1"/>
  <c r="F30" i="6"/>
  <c r="G30" i="6"/>
  <c r="G31" i="6"/>
  <c r="E28" i="6"/>
  <c r="W10" i="36"/>
  <c r="U10" i="36"/>
  <c r="S10" i="36"/>
  <c r="AA10" i="35"/>
  <c r="W10" i="35"/>
  <c r="U10" i="37"/>
  <c r="S10" i="37"/>
  <c r="AC10" i="37"/>
  <c r="W10" i="34"/>
  <c r="U10" i="34"/>
  <c r="S10" i="34"/>
  <c r="AA10" i="33"/>
  <c r="AC10" i="33"/>
  <c r="U10" i="21"/>
  <c r="S10" i="21"/>
  <c r="W10" i="21"/>
  <c r="AB27" i="36"/>
  <c r="S27" i="36"/>
  <c r="AC27" i="36"/>
  <c r="AC8" i="35"/>
  <c r="U8" i="35"/>
  <c r="H26" i="35"/>
  <c r="F26" i="35"/>
  <c r="J26" i="35"/>
  <c r="W33" i="37"/>
  <c r="AA11" i="37"/>
  <c r="W34" i="34"/>
  <c r="W37" i="34"/>
  <c r="S34" i="34"/>
  <c r="AB11" i="34"/>
  <c r="AA11" i="34"/>
  <c r="AC32" i="21"/>
  <c r="W33" i="21"/>
  <c r="AB8" i="21"/>
  <c r="P74" i="67"/>
  <c r="H62" i="43"/>
  <c r="H65" i="43"/>
  <c r="D72" i="43"/>
  <c r="D76" i="43"/>
  <c r="D80" i="43"/>
  <c r="D61" i="43"/>
  <c r="P61" i="15"/>
  <c r="C94" i="9"/>
  <c r="C92" i="9"/>
  <c r="J84" i="43"/>
  <c r="J85" i="43"/>
  <c r="J86" i="43"/>
  <c r="J87" i="43"/>
  <c r="J88" i="43"/>
  <c r="J89" i="43"/>
  <c r="J90" i="43"/>
  <c r="D83" i="43"/>
  <c r="E83" i="43"/>
  <c r="B81" i="43"/>
  <c r="D66" i="43"/>
  <c r="D64" i="43"/>
  <c r="D62" i="43"/>
  <c r="D67" i="43"/>
  <c r="D65" i="43"/>
  <c r="D63" i="43"/>
  <c r="D69" i="43"/>
  <c r="D73" i="43"/>
  <c r="D75" i="43"/>
  <c r="D79" i="43"/>
  <c r="D22" i="67"/>
  <c r="AQ13" i="1"/>
  <c r="E8" i="6"/>
  <c r="F27" i="6" s="1"/>
  <c r="F31" i="6" s="1"/>
  <c r="E12" i="6"/>
  <c r="E57" i="40" s="1"/>
  <c r="E15" i="6"/>
  <c r="E64" i="39" s="1"/>
  <c r="E11" i="6"/>
  <c r="E60" i="39" s="1"/>
  <c r="E65" i="39" s="1"/>
  <c r="E10" i="6"/>
  <c r="E13" i="6"/>
  <c r="P11" i="1"/>
  <c r="E59" i="40"/>
  <c r="D9" i="11"/>
  <c r="C9" i="11" s="1"/>
  <c r="D19" i="12"/>
  <c r="C19" i="12" s="1"/>
  <c r="O9" i="1"/>
  <c r="P9" i="1"/>
  <c r="O12" i="1"/>
  <c r="P12" i="1"/>
  <c r="O8" i="1"/>
  <c r="P8" i="1"/>
  <c r="H73" i="43"/>
  <c r="H90" i="43"/>
  <c r="I18" i="43"/>
  <c r="E17" i="43"/>
  <c r="C17" i="43"/>
  <c r="H26" i="43"/>
  <c r="J26" i="43"/>
  <c r="E26" i="43"/>
  <c r="H86" i="43"/>
  <c r="H87" i="43"/>
  <c r="N94" i="46"/>
  <c r="H89" i="43"/>
  <c r="H88" i="43"/>
  <c r="H84" i="43"/>
  <c r="A19" i="51"/>
  <c r="B14" i="72"/>
  <c r="T35" i="4"/>
  <c r="H110" i="9"/>
  <c r="K5" i="4"/>
  <c r="B47" i="48"/>
  <c r="Y8" i="71"/>
  <c r="Z8" i="71" s="1"/>
  <c r="X8" i="71"/>
  <c r="AA8" i="71"/>
  <c r="B8" i="74"/>
  <c r="D127" i="9"/>
  <c r="D13" i="52"/>
  <c r="D12" i="52"/>
  <c r="D20" i="53"/>
  <c r="B40" i="72"/>
  <c r="H76" i="43"/>
  <c r="H72" i="43"/>
  <c r="H63" i="43"/>
  <c r="H61" i="43"/>
  <c r="H79" i="43"/>
  <c r="D17" i="53"/>
  <c r="B36" i="72"/>
  <c r="D124" i="9"/>
  <c r="H74" i="43"/>
  <c r="H66" i="43"/>
  <c r="H68" i="43"/>
  <c r="H80" i="43"/>
  <c r="H77" i="43"/>
  <c r="E44" i="43"/>
  <c r="AC21" i="39"/>
  <c r="AB23" i="39"/>
  <c r="AB15" i="39"/>
  <c r="AC15" i="39"/>
  <c r="S25" i="39"/>
  <c r="W39" i="39"/>
  <c r="W42" i="39"/>
  <c r="W14" i="39"/>
  <c r="S29" i="39"/>
  <c r="E11" i="43"/>
  <c r="E9" i="43"/>
  <c r="E10" i="43"/>
  <c r="E8" i="43"/>
  <c r="D23" i="67"/>
  <c r="G25" i="12"/>
  <c r="G41" i="11"/>
  <c r="G27" i="12"/>
  <c r="G41" i="68"/>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K1" i="73"/>
  <c r="D9" i="68"/>
  <c r="C9" i="68" s="1"/>
  <c r="AA27" i="33"/>
  <c r="AB37" i="33"/>
  <c r="AC23" i="33"/>
  <c r="W23" i="33"/>
  <c r="AB19" i="33"/>
  <c r="U19" i="33"/>
  <c r="AB15" i="33"/>
  <c r="U15" i="33"/>
  <c r="AA15" i="33"/>
  <c r="S15" i="33"/>
  <c r="N370" i="46"/>
  <c r="G26" i="43"/>
  <c r="E61" i="43"/>
  <c r="B59" i="43"/>
  <c r="B116" i="43"/>
  <c r="G121" i="43" s="1"/>
  <c r="H121" i="43" s="1"/>
  <c r="Z7" i="43"/>
  <c r="E30" i="6"/>
  <c r="E56" i="39"/>
  <c r="AA26" i="35"/>
  <c r="S26" i="35"/>
  <c r="AC26" i="35"/>
  <c r="W26" i="35"/>
  <c r="AB26" i="35"/>
  <c r="U26" i="35"/>
  <c r="E61" i="39"/>
  <c r="E72" i="43"/>
  <c r="B70" i="43"/>
  <c r="E60" i="40"/>
  <c r="E51" i="40"/>
  <c r="E16" i="6"/>
  <c r="E58" i="40"/>
  <c r="E62" i="39"/>
  <c r="C7" i="43"/>
  <c r="D10" i="52"/>
  <c r="D125" i="9"/>
  <c r="D11" i="52"/>
  <c r="B7" i="74"/>
  <c r="D14" i="71"/>
  <c r="C13" i="71"/>
  <c r="AE11" i="1"/>
  <c r="AE9" i="1"/>
  <c r="AE7" i="1"/>
  <c r="AE8" i="1"/>
  <c r="AE12" i="1"/>
  <c r="AE10" i="1"/>
  <c r="O6" i="1"/>
  <c r="P6" i="1"/>
  <c r="I121" i="43"/>
  <c r="J121" i="43" s="1"/>
  <c r="K121" i="43" s="1"/>
  <c r="L121" i="43" s="1"/>
  <c r="M121" i="43" s="1"/>
  <c r="B119" i="43"/>
  <c r="C119" i="43" s="1"/>
  <c r="I120" i="43"/>
  <c r="J120" i="43" s="1"/>
  <c r="K120" i="43" s="1"/>
  <c r="L120" i="43" s="1"/>
  <c r="M120" i="43" s="1"/>
  <c r="B120" i="43"/>
  <c r="C120" i="43" s="1"/>
  <c r="D118" i="43"/>
  <c r="E118" i="43" s="1"/>
  <c r="F118" i="43" s="1"/>
  <c r="G118" i="43" s="1"/>
  <c r="H118" i="43" s="1"/>
  <c r="AG11" i="1"/>
  <c r="AG9" i="1"/>
  <c r="AG10" i="1"/>
  <c r="AG8" i="1"/>
  <c r="AG12" i="1"/>
  <c r="AG7" i="1"/>
  <c r="AG6" i="1"/>
  <c r="S8" i="1"/>
  <c r="E8" i="70"/>
  <c r="O14" i="1"/>
  <c r="D3" i="33"/>
  <c r="D13" i="71"/>
  <c r="C12" i="71"/>
  <c r="C11" i="71"/>
  <c r="S11" i="1"/>
  <c r="AQ11" i="1" s="1"/>
  <c r="E11" i="70"/>
  <c r="S9" i="1"/>
  <c r="AQ9" i="1" s="1"/>
  <c r="AQ8" i="1"/>
  <c r="T8" i="1"/>
  <c r="AR8" i="1"/>
  <c r="S7" i="1"/>
  <c r="AQ7" i="1" s="1"/>
  <c r="E7" i="70"/>
  <c r="S10" i="1"/>
  <c r="AQ10" i="1" s="1"/>
  <c r="E10" i="70"/>
  <c r="S12" i="1"/>
  <c r="T12" i="1" s="1"/>
  <c r="B2" i="74"/>
  <c r="P14" i="1"/>
  <c r="D11" i="71"/>
  <c r="C10" i="71"/>
  <c r="D12" i="71"/>
  <c r="R7" i="1"/>
  <c r="E12" i="70"/>
  <c r="F34" i="11"/>
  <c r="F11" i="12"/>
  <c r="C23" i="12" s="1"/>
  <c r="E9" i="70"/>
  <c r="AR12" i="1"/>
  <c r="T7" i="1"/>
  <c r="R11" i="1"/>
  <c r="R9" i="1"/>
  <c r="R10" i="1"/>
  <c r="D8" i="74"/>
  <c r="D7" i="74"/>
  <c r="R8" i="1"/>
  <c r="R12" i="1"/>
  <c r="D10" i="71"/>
  <c r="C9" i="71"/>
  <c r="C8" i="71"/>
  <c r="D8" i="71"/>
  <c r="C7" i="71"/>
  <c r="D9" i="71"/>
  <c r="D7" i="71"/>
  <c r="C6" i="71"/>
  <c r="D6" i="71"/>
  <c r="C5" i="71"/>
  <c r="D5" i="71"/>
  <c r="B2" i="21"/>
  <c r="B2" i="36"/>
  <c r="B3" i="36" s="1"/>
  <c r="B2" i="35"/>
  <c r="B3" i="35" s="1"/>
  <c r="B2" i="37"/>
  <c r="B2" i="34"/>
  <c r="F36" i="67"/>
  <c r="AO13" i="1"/>
  <c r="F38" i="67"/>
  <c r="E10" i="76"/>
  <c r="B8" i="76"/>
  <c r="F42" i="67"/>
  <c r="B11" i="76"/>
  <c r="J15" i="67"/>
  <c r="D4" i="73"/>
  <c r="AO8" i="1"/>
  <c r="F26" i="67"/>
  <c r="D2" i="33"/>
  <c r="F40" i="67"/>
  <c r="E8" i="76"/>
  <c r="AO12" i="1"/>
  <c r="D2" i="35"/>
  <c r="F8" i="67"/>
  <c r="F9" i="67"/>
  <c r="F13" i="67"/>
  <c r="D3" i="73"/>
  <c r="E13" i="76"/>
  <c r="M27" i="67"/>
  <c r="B13" i="76"/>
  <c r="M23" i="67"/>
  <c r="E12" i="76"/>
  <c r="D2" i="37"/>
  <c r="AO11" i="1"/>
  <c r="D2" i="21"/>
  <c r="M22" i="67"/>
  <c r="E7" i="76"/>
  <c r="L47" i="67"/>
  <c r="D2" i="36"/>
  <c r="C76" i="67"/>
  <c r="F37" i="67"/>
  <c r="AO10" i="1"/>
  <c r="D6" i="73"/>
  <c r="B10" i="76"/>
  <c r="D2" i="34"/>
  <c r="F16" i="67"/>
  <c r="F20" i="31"/>
  <c r="B12" i="76"/>
  <c r="D2" i="85"/>
  <c r="M26" i="67"/>
  <c r="M8" i="67"/>
  <c r="E11" i="76"/>
  <c r="M24" i="67"/>
  <c r="M28" i="67"/>
  <c r="AO7" i="1"/>
  <c r="E2" i="69"/>
  <c r="B9" i="76"/>
  <c r="D5" i="73"/>
  <c r="M9" i="67"/>
  <c r="D7" i="73"/>
  <c r="M6" i="67"/>
  <c r="E2" i="68"/>
  <c r="AO9" i="1"/>
  <c r="E9" i="76"/>
  <c r="B7" i="76"/>
  <c r="W15" i="33" l="1"/>
  <c r="C30" i="11"/>
  <c r="F28" i="67"/>
  <c r="T10" i="1"/>
  <c r="T9" i="1"/>
  <c r="T13" i="1"/>
  <c r="AR7" i="1"/>
  <c r="AQ12" i="1"/>
  <c r="AR11" i="1"/>
  <c r="AR9" i="1"/>
  <c r="D121" i="43"/>
  <c r="E121" i="43" s="1"/>
  <c r="F121" i="43" s="1"/>
  <c r="I119" i="43"/>
  <c r="J119" i="43" s="1"/>
  <c r="K119" i="43" s="1"/>
  <c r="L119" i="43" s="1"/>
  <c r="M119" i="43" s="1"/>
  <c r="P16" i="1"/>
  <c r="C11" i="12" s="1"/>
  <c r="C15" i="12" s="1"/>
  <c r="E56" i="40"/>
  <c r="G5" i="3"/>
  <c r="B3" i="3" s="1"/>
  <c r="E13" i="3" s="1"/>
  <c r="L27" i="6"/>
  <c r="C6" i="78"/>
  <c r="D6" i="78" s="1"/>
  <c r="D15" i="4"/>
  <c r="H25" i="33"/>
  <c r="F87" i="33"/>
  <c r="J25" i="33"/>
  <c r="S28" i="33"/>
  <c r="AA44" i="33"/>
  <c r="AB45" i="33"/>
  <c r="AB10" i="33"/>
  <c r="C36" i="11"/>
  <c r="G23" i="43"/>
  <c r="C7" i="85"/>
  <c r="C7" i="33"/>
  <c r="C7" i="34"/>
  <c r="C59" i="34" s="1"/>
  <c r="C7" i="36"/>
  <c r="C46" i="36" s="1"/>
  <c r="C7" i="21"/>
  <c r="C58" i="21" s="1"/>
  <c r="C42" i="1"/>
  <c r="J51" i="67"/>
  <c r="C7" i="37"/>
  <c r="C52" i="37" s="1"/>
  <c r="C7" i="39"/>
  <c r="C67" i="39" s="1"/>
  <c r="C7" i="40"/>
  <c r="C63" i="40" s="1"/>
  <c r="M47" i="9"/>
  <c r="C7" i="35"/>
  <c r="C48" i="35" s="1"/>
  <c r="L1" i="73"/>
  <c r="C36" i="69"/>
  <c r="AR10" i="1"/>
  <c r="T11" i="1"/>
  <c r="G1" i="15"/>
  <c r="G1" i="69"/>
  <c r="K1" i="12"/>
  <c r="O16" i="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C118" i="43" s="1"/>
  <c r="B122" i="43"/>
  <c r="C122" i="43" s="1"/>
  <c r="D18" i="53"/>
  <c r="B35" i="72" s="1"/>
  <c r="C7" i="74"/>
  <c r="D26" i="43"/>
  <c r="C25" i="43" s="1"/>
  <c r="AZ13" i="3"/>
  <c r="AZ5" i="3" s="1"/>
  <c r="BA5" i="3"/>
  <c r="E27" i="6" s="1"/>
  <c r="B24" i="31"/>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K6" i="1"/>
  <c r="K19" i="6"/>
  <c r="D3" i="85"/>
  <c r="AB28" i="33"/>
  <c r="H69" i="43"/>
  <c r="H67" i="43"/>
  <c r="J21" i="43"/>
  <c r="D21" i="43"/>
  <c r="K21" i="43"/>
  <c r="E21" i="43"/>
  <c r="F42" i="43"/>
  <c r="F40" i="43"/>
  <c r="F38" i="43"/>
  <c r="H116" i="43"/>
  <c r="S2" i="43"/>
  <c r="S5" i="43"/>
  <c r="F50" i="43"/>
  <c r="N21" i="43"/>
  <c r="C6" i="43"/>
  <c r="J37" i="33"/>
  <c r="F113" i="33"/>
  <c r="G113" i="33" s="1"/>
  <c r="H113" i="33" s="1"/>
  <c r="I113" i="33" s="1"/>
  <c r="J113" i="33" s="1"/>
  <c r="K113" i="33" s="1"/>
  <c r="L113" i="33" s="1"/>
  <c r="M113" i="33" s="1"/>
  <c r="S37" i="33"/>
  <c r="AA37" i="33"/>
  <c r="F37" i="85"/>
  <c r="AA37" i="85" s="1"/>
  <c r="H37" i="85"/>
  <c r="F113" i="85"/>
  <c r="G113" i="85" s="1"/>
  <c r="H113" i="85" s="1"/>
  <c r="I113" i="85" s="1"/>
  <c r="J113" i="85" s="1"/>
  <c r="K113" i="85" s="1"/>
  <c r="L113" i="85" s="1"/>
  <c r="M113" i="85" s="1"/>
  <c r="J37" i="85"/>
  <c r="S32" i="85"/>
  <c r="W32" i="85"/>
  <c r="U32" i="33"/>
  <c r="AC32" i="33"/>
  <c r="AB8" i="71"/>
  <c r="S37" i="85"/>
  <c r="S26" i="85"/>
  <c r="S42" i="85"/>
  <c r="U33" i="85"/>
  <c r="U8" i="33"/>
  <c r="F91" i="33"/>
  <c r="G91" i="33" s="1"/>
  <c r="H91" i="33" s="1"/>
  <c r="I91" i="33" s="1"/>
  <c r="J91" i="33" s="1"/>
  <c r="K91" i="33" s="1"/>
  <c r="L91" i="33" s="1"/>
  <c r="M91" i="33" s="1"/>
  <c r="J27" i="33"/>
  <c r="AC27" i="33" s="1"/>
  <c r="H27" i="33"/>
  <c r="C18" i="9"/>
  <c r="D18" i="9" s="1"/>
  <c r="S38" i="85"/>
  <c r="J38" i="85"/>
  <c r="S15" i="85"/>
  <c r="H15" i="85"/>
  <c r="AB15" i="85" s="1"/>
  <c r="G77" i="85"/>
  <c r="J15" i="85"/>
  <c r="H36" i="85"/>
  <c r="AB36" i="85" s="1"/>
  <c r="F36" i="85"/>
  <c r="AA36" i="85" s="1"/>
  <c r="J36" i="85"/>
  <c r="AC36" i="85" s="1"/>
  <c r="C36" i="68"/>
  <c r="W33" i="85"/>
  <c r="S45" i="33"/>
  <c r="S28" i="85"/>
  <c r="S38" i="33"/>
  <c r="J36" i="33"/>
  <c r="F111" i="33"/>
  <c r="F7" i="49"/>
  <c r="H7" i="49" s="1"/>
  <c r="B6" i="49"/>
  <c r="D6" i="49" s="1"/>
  <c r="F11" i="49"/>
  <c r="H11" i="49" s="1"/>
  <c r="B14" i="49"/>
  <c r="D14" i="49" s="1"/>
  <c r="B9" i="49"/>
  <c r="D9" i="49" s="1"/>
  <c r="F13" i="49"/>
  <c r="H13" i="49" s="1"/>
  <c r="F9" i="49"/>
  <c r="H9" i="49" s="1"/>
  <c r="F5" i="49"/>
  <c r="H5" i="49" s="1"/>
  <c r="B10" i="49"/>
  <c r="D10" i="49" s="1"/>
  <c r="B13" i="49"/>
  <c r="D13" i="49" s="1"/>
  <c r="B5" i="49"/>
  <c r="D5" i="49" s="1"/>
  <c r="F14" i="49"/>
  <c r="H14" i="49" s="1"/>
  <c r="F12" i="49"/>
  <c r="H12" i="49" s="1"/>
  <c r="F10" i="49"/>
  <c r="H10" i="49" s="1"/>
  <c r="F8" i="49"/>
  <c r="H8" i="49" s="1"/>
  <c r="F6" i="49"/>
  <c r="H6" i="49" s="1"/>
  <c r="F4" i="49"/>
  <c r="H4" i="49" s="1"/>
  <c r="B12" i="49"/>
  <c r="D12" i="49" s="1"/>
  <c r="B8" i="49"/>
  <c r="B4" i="49"/>
  <c r="D4" i="49" s="1"/>
  <c r="B11" i="49"/>
  <c r="B7" i="49"/>
  <c r="D7" i="49" s="1"/>
  <c r="B12" i="70"/>
  <c r="B10" i="70"/>
  <c r="B7" i="70"/>
  <c r="B11" i="70"/>
  <c r="L59" i="67"/>
  <c r="M59" i="67"/>
  <c r="N59" i="67"/>
  <c r="F31" i="15"/>
  <c r="B9" i="70"/>
  <c r="B8" i="70"/>
  <c r="Q71" i="67"/>
  <c r="B13" i="70"/>
  <c r="F66" i="67"/>
  <c r="F65" i="67"/>
  <c r="F68" i="67"/>
  <c r="F64" i="67"/>
  <c r="C27" i="67"/>
  <c r="F51" i="67"/>
  <c r="F7" i="73"/>
  <c r="F6" i="73"/>
  <c r="F6" i="15"/>
  <c r="F7" i="15"/>
  <c r="C76" i="15"/>
  <c r="F26" i="15"/>
  <c r="F37" i="15"/>
  <c r="M29" i="15"/>
  <c r="J15" i="15"/>
  <c r="F40" i="15"/>
  <c r="F7" i="67"/>
  <c r="F4" i="73"/>
  <c r="F5" i="73"/>
  <c r="F16" i="15"/>
  <c r="M27" i="15"/>
  <c r="L47" i="15"/>
  <c r="M21" i="15"/>
  <c r="M26" i="15"/>
  <c r="F13" i="15"/>
  <c r="M22" i="15"/>
  <c r="F38" i="15"/>
  <c r="F35" i="15"/>
  <c r="F43" i="15"/>
  <c r="F41" i="15"/>
  <c r="M8" i="15"/>
  <c r="M24" i="15"/>
  <c r="M6" i="15"/>
  <c r="F8" i="15"/>
  <c r="M9" i="15"/>
  <c r="F43" i="67"/>
  <c r="G1" i="73"/>
  <c r="F3" i="73"/>
  <c r="F42" i="15"/>
  <c r="L48" i="15"/>
  <c r="M28" i="15"/>
  <c r="F9" i="15"/>
  <c r="C14" i="15"/>
  <c r="M23" i="15"/>
  <c r="F36" i="15"/>
  <c r="M29" i="67"/>
  <c r="W27" i="33" l="1"/>
  <c r="C12" i="12"/>
  <c r="E205" i="3"/>
  <c r="E296" i="3"/>
  <c r="E140" i="3"/>
  <c r="E197" i="3"/>
  <c r="E173" i="3"/>
  <c r="E369" i="3"/>
  <c r="E525" i="3"/>
  <c r="E534" i="3"/>
  <c r="T6" i="3"/>
  <c r="E405" i="3"/>
  <c r="E456" i="3"/>
  <c r="E469" i="3"/>
  <c r="E512" i="3"/>
  <c r="E408" i="3"/>
  <c r="E451" i="3"/>
  <c r="E360" i="3"/>
  <c r="E556" i="3"/>
  <c r="E49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510" i="3"/>
  <c r="E329" i="3"/>
  <c r="E16" i="3"/>
  <c r="E188" i="3"/>
  <c r="E223" i="3"/>
  <c r="E116" i="3"/>
  <c r="E105" i="3"/>
  <c r="E393" i="3"/>
  <c r="E493" i="3"/>
  <c r="E564" i="3"/>
  <c r="E543" i="3"/>
  <c r="E427" i="3"/>
  <c r="E486" i="3"/>
  <c r="E507" i="3"/>
  <c r="E422" i="3"/>
  <c r="E440" i="3"/>
  <c r="E490" i="3"/>
  <c r="E376" i="3"/>
  <c r="AH6" i="3"/>
  <c r="J6" i="3"/>
  <c r="E498"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351" i="3"/>
  <c r="E318" i="3"/>
  <c r="E31" i="3"/>
  <c r="E567" i="3"/>
  <c r="E549"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57" i="3"/>
  <c r="E14" i="3"/>
  <c r="E93" i="3"/>
  <c r="E397"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G44" i="43"/>
  <c r="C44" i="43" s="1"/>
  <c r="F6" i="1"/>
  <c r="F25" i="33"/>
  <c r="G87" i="33"/>
  <c r="H87" i="33" s="1"/>
  <c r="I87" i="33" s="1"/>
  <c r="J87" i="33" s="1"/>
  <c r="K87" i="33" s="1"/>
  <c r="L87" i="33" s="1"/>
  <c r="M87" i="33" s="1"/>
  <c r="W25" i="33"/>
  <c r="AC25" i="33"/>
  <c r="AB25" i="33"/>
  <c r="U25" i="33"/>
  <c r="I1" i="73"/>
  <c r="B39" i="1" s="1"/>
  <c r="F11" i="67" s="1"/>
  <c r="C53" i="67" s="1"/>
  <c r="D48" i="35"/>
  <c r="E48" i="35" s="1"/>
  <c r="F48" i="35" s="1"/>
  <c r="G48" i="35" s="1"/>
  <c r="H48" i="35" s="1"/>
  <c r="I48" i="35" s="1"/>
  <c r="J48" i="35" s="1"/>
  <c r="K48" i="35" s="1"/>
  <c r="L48" i="35" s="1"/>
  <c r="M48" i="35" s="1"/>
  <c r="N48" i="35" s="1"/>
  <c r="O48" i="35" s="1"/>
  <c r="H7" i="35"/>
  <c r="F7" i="35"/>
  <c r="C65" i="40"/>
  <c r="D63" i="40"/>
  <c r="D52" i="37"/>
  <c r="E52" i="37" s="1"/>
  <c r="F52" i="37" s="1"/>
  <c r="G52" i="37" s="1"/>
  <c r="H52" i="37" s="1"/>
  <c r="I52" i="37" s="1"/>
  <c r="J52" i="37" s="1"/>
  <c r="K52" i="37" s="1"/>
  <c r="L52" i="37" s="1"/>
  <c r="M52" i="37" s="1"/>
  <c r="N52" i="37" s="1"/>
  <c r="O52" i="37" s="1"/>
  <c r="F7" i="37"/>
  <c r="C28" i="15"/>
  <c r="C48" i="68"/>
  <c r="C77" i="9"/>
  <c r="C74" i="9" s="1"/>
  <c r="C13" i="12"/>
  <c r="C30" i="69"/>
  <c r="C48" i="69"/>
  <c r="C28" i="67"/>
  <c r="C24" i="12"/>
  <c r="C31" i="12"/>
  <c r="C30" i="68"/>
  <c r="D46" i="36"/>
  <c r="E46" i="36" s="1"/>
  <c r="F46" i="36" s="1"/>
  <c r="G46" i="36" s="1"/>
  <c r="H46" i="36" s="1"/>
  <c r="I46" i="36" s="1"/>
  <c r="J46" i="36" s="1"/>
  <c r="K46" i="36" s="1"/>
  <c r="L46" i="36" s="1"/>
  <c r="M46" i="36" s="1"/>
  <c r="N46" i="36" s="1"/>
  <c r="O46" i="36" s="1"/>
  <c r="H7" i="36"/>
  <c r="J7" i="36"/>
  <c r="F7" i="36"/>
  <c r="G7" i="33"/>
  <c r="I7" i="33"/>
  <c r="E7" i="33"/>
  <c r="C58" i="33"/>
  <c r="D58" i="33" s="1"/>
  <c r="E58" i="33" s="1"/>
  <c r="F58" i="33" s="1"/>
  <c r="G58" i="33" s="1"/>
  <c r="H58" i="33" s="1"/>
  <c r="I58" i="33" s="1"/>
  <c r="J58" i="33" s="1"/>
  <c r="K58" i="33" s="1"/>
  <c r="L58" i="33" s="1"/>
  <c r="M58" i="33" s="1"/>
  <c r="N58" i="33" s="1"/>
  <c r="O58" i="33" s="1"/>
  <c r="A1" i="79"/>
  <c r="P28" i="43"/>
  <c r="B66" i="40" s="1"/>
  <c r="P25" i="43"/>
  <c r="P27" i="43"/>
  <c r="B70" i="39" s="1"/>
  <c r="C23" i="43"/>
  <c r="O23" i="43"/>
  <c r="P26" i="43"/>
  <c r="P29" i="43"/>
  <c r="M24" i="43"/>
  <c r="D67" i="39"/>
  <c r="C69" i="39"/>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7" i="85"/>
  <c r="F7" i="85" s="1"/>
  <c r="C58" i="85"/>
  <c r="D58" i="85" s="1"/>
  <c r="E58" i="85" s="1"/>
  <c r="F58" i="85" s="1"/>
  <c r="G58" i="85" s="1"/>
  <c r="H58" i="85" s="1"/>
  <c r="I58" i="85" s="1"/>
  <c r="J58" i="85" s="1"/>
  <c r="K58" i="85" s="1"/>
  <c r="L58" i="85" s="1"/>
  <c r="M58" i="85" s="1"/>
  <c r="N58" i="85" s="1"/>
  <c r="O58" i="85" s="1"/>
  <c r="I7" i="85"/>
  <c r="J7" i="85" s="1"/>
  <c r="G7" i="85"/>
  <c r="H7" i="85" s="1"/>
  <c r="G21" i="43"/>
  <c r="C20" i="43" s="1"/>
  <c r="D5" i="43" s="1"/>
  <c r="F68" i="15"/>
  <c r="F51" i="15"/>
  <c r="F64" i="15"/>
  <c r="F69" i="15"/>
  <c r="F65" i="15"/>
  <c r="F71" i="15"/>
  <c r="C15" i="15"/>
  <c r="C18" i="15"/>
  <c r="C34" i="15"/>
  <c r="F63" i="15"/>
  <c r="C62" i="15" s="1"/>
  <c r="C27" i="15"/>
  <c r="F66" i="15"/>
  <c r="Q71" i="15"/>
  <c r="J57" i="15"/>
  <c r="J55" i="15" s="1"/>
  <c r="J58" i="15" s="1"/>
  <c r="Q50" i="15" s="1"/>
  <c r="I54" i="15"/>
  <c r="J53" i="15"/>
  <c r="F1" i="15" s="1"/>
  <c r="J20" i="15"/>
  <c r="F50" i="15"/>
  <c r="M7" i="15"/>
  <c r="M17" i="15" s="1"/>
  <c r="M59" i="15"/>
  <c r="N59" i="15"/>
  <c r="L59" i="15"/>
  <c r="Q61" i="15" s="1"/>
  <c r="L58" i="15"/>
  <c r="Q73" i="15" s="1"/>
  <c r="C6" i="15"/>
  <c r="C32" i="15" s="1"/>
  <c r="F50" i="67"/>
  <c r="C49" i="67" s="1"/>
  <c r="C61" i="67" s="1"/>
  <c r="M7" i="67"/>
  <c r="M17" i="67" s="1"/>
  <c r="F71" i="67"/>
  <c r="M19" i="6"/>
  <c r="S6" i="1"/>
  <c r="E6" i="70" s="1"/>
  <c r="E2" i="70" s="1"/>
  <c r="K26" i="6"/>
  <c r="M26" i="6" s="1"/>
  <c r="I26" i="6" s="1"/>
  <c r="S26" i="6" s="1"/>
  <c r="K21" i="6"/>
  <c r="M21" i="6" s="1"/>
  <c r="I21" i="6" s="1"/>
  <c r="S21" i="6" s="1"/>
  <c r="K20" i="6"/>
  <c r="M20" i="6" s="1"/>
  <c r="I20" i="6" s="1"/>
  <c r="S20" i="6" s="1"/>
  <c r="K22" i="6"/>
  <c r="M22" i="6" s="1"/>
  <c r="I22" i="6" s="1"/>
  <c r="S22" i="6" s="1"/>
  <c r="K24" i="6"/>
  <c r="M24" i="6" s="1"/>
  <c r="I24" i="6" s="1"/>
  <c r="S24" i="6" s="1"/>
  <c r="K23" i="6"/>
  <c r="M23" i="6" s="1"/>
  <c r="I23" i="6" s="1"/>
  <c r="S23" i="6" s="1"/>
  <c r="E31" i="6"/>
  <c r="K25" i="6"/>
  <c r="M25" i="6" s="1"/>
  <c r="I25" i="6" s="1"/>
  <c r="S25" i="6" s="1"/>
  <c r="D116" i="43"/>
  <c r="M6" i="1"/>
  <c r="H16" i="1"/>
  <c r="K16" i="1"/>
  <c r="C34" i="69"/>
  <c r="Q16" i="1"/>
  <c r="AC6" i="3"/>
  <c r="B22" i="31"/>
  <c r="C25" i="31"/>
  <c r="AY6" i="3"/>
  <c r="E3" i="6"/>
  <c r="C5" i="43"/>
  <c r="H55" i="43"/>
  <c r="G55" i="43" s="1"/>
  <c r="H56" i="43"/>
  <c r="G56" i="43" s="1"/>
  <c r="H57" i="43"/>
  <c r="G57" i="43" s="1"/>
  <c r="H51" i="43"/>
  <c r="G51" i="43" s="1"/>
  <c r="H52" i="43"/>
  <c r="G52" i="43" s="1"/>
  <c r="H53" i="43"/>
  <c r="G53" i="43" s="1"/>
  <c r="H54" i="43"/>
  <c r="G54" i="43" s="1"/>
  <c r="H58" i="43"/>
  <c r="G58" i="43" s="1"/>
  <c r="H50" i="43"/>
  <c r="G50" i="43" s="1"/>
  <c r="W37" i="33"/>
  <c r="AC37" i="33"/>
  <c r="AC37" i="85"/>
  <c r="W37" i="85"/>
  <c r="AB37" i="85"/>
  <c r="U37" i="85"/>
  <c r="S36" i="85"/>
  <c r="AB27" i="33"/>
  <c r="U27" i="33"/>
  <c r="W38" i="85"/>
  <c r="AC38" i="85"/>
  <c r="U15" i="85"/>
  <c r="AC15" i="85"/>
  <c r="W15" i="85"/>
  <c r="U36" i="85"/>
  <c r="W36" i="85"/>
  <c r="B40" i="1"/>
  <c r="F22" i="69" s="1"/>
  <c r="W36" i="33"/>
  <c r="AC36" i="33"/>
  <c r="G111" i="33"/>
  <c r="H111" i="33" s="1"/>
  <c r="I111" i="33" s="1"/>
  <c r="J111" i="33" s="1"/>
  <c r="K111" i="33" s="1"/>
  <c r="L111" i="33" s="1"/>
  <c r="M111" i="33" s="1"/>
  <c r="F36" i="33"/>
  <c r="H36" i="33"/>
  <c r="F59" i="15"/>
  <c r="D11" i="49"/>
  <c r="E4" i="4"/>
  <c r="B5" i="62" s="1"/>
  <c r="B73" i="72" s="1"/>
  <c r="D8" i="49"/>
  <c r="C4" i="4"/>
  <c r="Q61" i="67"/>
  <c r="Q74" i="67"/>
  <c r="F59" i="67"/>
  <c r="L48" i="67"/>
  <c r="C16" i="67"/>
  <c r="C16" i="15"/>
  <c r="C14" i="67"/>
  <c r="C17" i="15"/>
  <c r="C17" i="67"/>
  <c r="F11" i="15" l="1"/>
  <c r="C10" i="15" s="1"/>
  <c r="C5" i="15" s="1"/>
  <c r="H6" i="3"/>
  <c r="E6" i="3" s="1"/>
  <c r="M11" i="67"/>
  <c r="L58" i="67"/>
  <c r="J57" i="67"/>
  <c r="J55" i="67" s="1"/>
  <c r="J58" i="67" s="1"/>
  <c r="Q50" i="67" s="1"/>
  <c r="I54" i="67"/>
  <c r="L56" i="67"/>
  <c r="J53" i="67"/>
  <c r="L60" i="67"/>
  <c r="L57" i="67"/>
  <c r="I24" i="43"/>
  <c r="C24" i="43" s="1"/>
  <c r="G6" i="1"/>
  <c r="G16" i="1" s="1"/>
  <c r="J10" i="40" s="1"/>
  <c r="J7" i="34"/>
  <c r="J7" i="21"/>
  <c r="F7" i="33"/>
  <c r="H7" i="37"/>
  <c r="J7" i="35"/>
  <c r="M11" i="15"/>
  <c r="J10" i="15" s="1"/>
  <c r="J6" i="15"/>
  <c r="J18" i="15" s="1"/>
  <c r="AA25" i="33"/>
  <c r="S25" i="33"/>
  <c r="AC7" i="85"/>
  <c r="V48" i="85" s="1"/>
  <c r="I48" i="85" s="1"/>
  <c r="I52" i="85" s="1"/>
  <c r="J52" i="85" s="1"/>
  <c r="W7" i="85"/>
  <c r="AA7" i="85"/>
  <c r="R48" i="85" s="1"/>
  <c r="E48" i="85" s="1"/>
  <c r="E52" i="85" s="1"/>
  <c r="F52" i="85" s="1"/>
  <c r="S7" i="85"/>
  <c r="W7" i="34"/>
  <c r="AC7" i="34"/>
  <c r="V49" i="34" s="1"/>
  <c r="I49" i="34" s="1"/>
  <c r="W7" i="21"/>
  <c r="AC7" i="21"/>
  <c r="V48" i="21" s="1"/>
  <c r="I48" i="21" s="1"/>
  <c r="D69" i="39"/>
  <c r="E67" i="39"/>
  <c r="U7" i="85"/>
  <c r="AB7" i="85"/>
  <c r="T48" i="85" s="1"/>
  <c r="F7" i="34"/>
  <c r="H7" i="34"/>
  <c r="H7" i="21"/>
  <c r="F7" i="21"/>
  <c r="S7" i="33"/>
  <c r="AA7" i="33"/>
  <c r="H7" i="33"/>
  <c r="W7" i="36"/>
  <c r="AC7" i="36"/>
  <c r="V36" i="36" s="1"/>
  <c r="I36" i="36" s="1"/>
  <c r="AB7" i="37"/>
  <c r="T42" i="37" s="1"/>
  <c r="G42" i="37" s="1"/>
  <c r="U7" i="37"/>
  <c r="AB7" i="35"/>
  <c r="T38" i="35" s="1"/>
  <c r="G38" i="35" s="1"/>
  <c r="U7" i="35"/>
  <c r="J7" i="33"/>
  <c r="AA7" i="36"/>
  <c r="R36" i="36" s="1"/>
  <c r="S7" i="36"/>
  <c r="U7" i="36"/>
  <c r="AB7" i="36"/>
  <c r="T36" i="36" s="1"/>
  <c r="G36" i="36" s="1"/>
  <c r="AA7" i="37"/>
  <c r="R42" i="37" s="1"/>
  <c r="S7" i="37"/>
  <c r="J7" i="37"/>
  <c r="D65" i="40"/>
  <c r="E63" i="40"/>
  <c r="S7" i="35"/>
  <c r="AA7" i="35"/>
  <c r="R38" i="35" s="1"/>
  <c r="AC7" i="35"/>
  <c r="V38" i="35" s="1"/>
  <c r="I38" i="35" s="1"/>
  <c r="W7" i="35"/>
  <c r="Q60" i="15"/>
  <c r="Q74" i="15"/>
  <c r="Q52" i="15"/>
  <c r="C33" i="15"/>
  <c r="C31" i="15" s="1"/>
  <c r="J6" i="67"/>
  <c r="J10" i="67" s="1"/>
  <c r="C19" i="15"/>
  <c r="C20" i="15" s="1"/>
  <c r="C49" i="15"/>
  <c r="C61" i="15" s="1"/>
  <c r="L56" i="15"/>
  <c r="C18" i="67"/>
  <c r="C15" i="67"/>
  <c r="D3" i="6"/>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130" i="3"/>
  <c r="AY243" i="3"/>
  <c r="AY393" i="3"/>
  <c r="AY325" i="3"/>
  <c r="AY308" i="3"/>
  <c r="AY464" i="3"/>
  <c r="AY422" i="3"/>
  <c r="AY40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79" i="3"/>
  <c r="AY356" i="3"/>
  <c r="AY467" i="3"/>
  <c r="AY435"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59" i="3"/>
  <c r="AY371" i="3"/>
  <c r="AY284" i="3"/>
  <c r="AY300" i="3"/>
  <c r="AY401" i="3"/>
  <c r="AY76" i="3"/>
  <c r="AY125" i="3"/>
  <c r="AY374" i="3"/>
  <c r="AY145" i="3"/>
  <c r="AY316" i="3"/>
  <c r="AY585" i="3"/>
  <c r="AY75" i="3"/>
  <c r="AY404" i="3"/>
  <c r="AY126" i="3"/>
  <c r="AY150" i="3"/>
  <c r="AY340"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3" i="3"/>
  <c r="AY58" i="3"/>
  <c r="AY160" i="3"/>
  <c r="AY460" i="3"/>
  <c r="AY327" i="3"/>
  <c r="BE6" i="3"/>
  <c r="AY185" i="3"/>
  <c r="AY262" i="3"/>
  <c r="AY73" i="3"/>
  <c r="AY388" i="3"/>
  <c r="AY430" i="3"/>
  <c r="BG6" i="3"/>
  <c r="AY199" i="3"/>
  <c r="AY53" i="3"/>
  <c r="AY389" i="3"/>
  <c r="AY226" i="3"/>
  <c r="AY454"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Q18" i="1"/>
  <c r="F27" i="68"/>
  <c r="F28" i="12"/>
  <c r="C29" i="12" s="1"/>
  <c r="D28" i="12" s="1"/>
  <c r="F27" i="69"/>
  <c r="F27" i="11"/>
  <c r="M16" i="1"/>
  <c r="K27" i="6"/>
  <c r="I19" i="6"/>
  <c r="M27" i="6"/>
  <c r="B14" i="74"/>
  <c r="B1" i="74" s="1"/>
  <c r="D1" i="43"/>
  <c r="E6" i="6"/>
  <c r="D3" i="21"/>
  <c r="B3" i="21" s="1"/>
  <c r="D14" i="12"/>
  <c r="D3" i="34"/>
  <c r="B3" i="34" s="1"/>
  <c r="C17" i="4"/>
  <c r="B4" i="52" s="1"/>
  <c r="B43" i="72" s="1"/>
  <c r="D3" i="37"/>
  <c r="B3" i="37" s="1"/>
  <c r="D37" i="11"/>
  <c r="C37" i="11" s="1"/>
  <c r="M18" i="9"/>
  <c r="B118" i="9" s="1"/>
  <c r="D19" i="11"/>
  <c r="C19" i="11" s="1"/>
  <c r="L18" i="9"/>
  <c r="C38" i="69"/>
  <c r="C35" i="69"/>
  <c r="F10" i="39"/>
  <c r="H10" i="39"/>
  <c r="J10" i="39"/>
  <c r="AQ6" i="1"/>
  <c r="T6" i="1"/>
  <c r="T16" i="1" s="1"/>
  <c r="S16" i="1"/>
  <c r="AR6" i="1"/>
  <c r="M58" i="43"/>
  <c r="N58" i="43" s="1"/>
  <c r="K58" i="43"/>
  <c r="M53" i="43"/>
  <c r="N53" i="43" s="1"/>
  <c r="K53" i="43"/>
  <c r="M51" i="43"/>
  <c r="N51" i="43" s="1"/>
  <c r="K51" i="43"/>
  <c r="K56" i="43"/>
  <c r="M56" i="43"/>
  <c r="N56" i="43" s="1"/>
  <c r="M50" i="43"/>
  <c r="N50" i="43" s="1"/>
  <c r="K50" i="43"/>
  <c r="M54" i="43"/>
  <c r="N54" i="43" s="1"/>
  <c r="K54" i="43"/>
  <c r="J54" i="43" s="1"/>
  <c r="K52" i="43"/>
  <c r="M52" i="43"/>
  <c r="N52" i="43" s="1"/>
  <c r="K57" i="43"/>
  <c r="J57" i="43" s="1"/>
  <c r="D57" i="43" s="1"/>
  <c r="M57" i="43"/>
  <c r="N57" i="43" s="1"/>
  <c r="K55" i="43"/>
  <c r="M55" i="43"/>
  <c r="N55" i="43" s="1"/>
  <c r="F22" i="11"/>
  <c r="C44" i="11" s="1"/>
  <c r="D41" i="11" s="1"/>
  <c r="F24" i="67"/>
  <c r="C24" i="67" s="1"/>
  <c r="F22" i="68"/>
  <c r="C26" i="68" s="1"/>
  <c r="D22" i="68" s="1"/>
  <c r="F24" i="15"/>
  <c r="C24" i="15" s="1"/>
  <c r="F25" i="12"/>
  <c r="C26" i="12" s="1"/>
  <c r="D25" i="12" s="1"/>
  <c r="L36" i="43"/>
  <c r="N36" i="43" s="1"/>
  <c r="S36" i="33"/>
  <c r="AA36" i="33"/>
  <c r="R48" i="33" s="1"/>
  <c r="AB36" i="33"/>
  <c r="U36" i="33"/>
  <c r="C48" i="67"/>
  <c r="K4" i="4"/>
  <c r="B46" i="48" s="1"/>
  <c r="B4" i="72" s="1"/>
  <c r="B4" i="62"/>
  <c r="B71" i="72" s="1"/>
  <c r="C53" i="15"/>
  <c r="C24" i="69"/>
  <c r="C26" i="69"/>
  <c r="D22" i="69" s="1"/>
  <c r="C44" i="69"/>
  <c r="D41" i="69" s="1"/>
  <c r="F41" i="69"/>
  <c r="J50" i="43" l="1"/>
  <c r="D50" i="43"/>
  <c r="J51" i="43"/>
  <c r="D51" i="43"/>
  <c r="J58" i="43"/>
  <c r="D58" i="43"/>
  <c r="H10" i="40"/>
  <c r="F10" i="40"/>
  <c r="AA10" i="40" s="1"/>
  <c r="Q57" i="67"/>
  <c r="Q66" i="67"/>
  <c r="F1" i="67"/>
  <c r="Q52" i="67"/>
  <c r="Q73" i="67"/>
  <c r="Q60" i="67"/>
  <c r="J5" i="15"/>
  <c r="J26" i="15" s="1"/>
  <c r="J29" i="15" s="1"/>
  <c r="J19" i="15"/>
  <c r="J17" i="15" s="1"/>
  <c r="I53" i="85"/>
  <c r="J53" i="85" s="1"/>
  <c r="G48" i="85"/>
  <c r="R49" i="85"/>
  <c r="I42" i="35"/>
  <c r="J42" i="35" s="1"/>
  <c r="G40" i="36"/>
  <c r="H40" i="36" s="1"/>
  <c r="G41" i="36"/>
  <c r="H41" i="36" s="1"/>
  <c r="AC7" i="33"/>
  <c r="V48" i="33" s="1"/>
  <c r="I48" i="33" s="1"/>
  <c r="I52" i="33" s="1"/>
  <c r="J52" i="33" s="1"/>
  <c r="W7" i="33"/>
  <c r="G42" i="35"/>
  <c r="H42" i="35" s="1"/>
  <c r="G43" i="35"/>
  <c r="H43" i="35" s="1"/>
  <c r="I40" i="36"/>
  <c r="J40" i="36" s="1"/>
  <c r="AB7" i="33"/>
  <c r="U7" i="33"/>
  <c r="AA7" i="21"/>
  <c r="R48" i="21" s="1"/>
  <c r="S7" i="21"/>
  <c r="AB7" i="34"/>
  <c r="T49" i="34" s="1"/>
  <c r="G49" i="34" s="1"/>
  <c r="U7" i="34"/>
  <c r="E69" i="39"/>
  <c r="F67" i="39"/>
  <c r="I52" i="21"/>
  <c r="J52" i="21" s="1"/>
  <c r="I53" i="34"/>
  <c r="J53" i="34" s="1"/>
  <c r="T48" i="33"/>
  <c r="G48" i="33" s="1"/>
  <c r="G52" i="33" s="1"/>
  <c r="H52" i="33" s="1"/>
  <c r="R39" i="35"/>
  <c r="E38" i="35"/>
  <c r="E65" i="40"/>
  <c r="F63" i="40"/>
  <c r="AC7" i="37"/>
  <c r="V42" i="37" s="1"/>
  <c r="I42" i="37" s="1"/>
  <c r="G47" i="37" s="1"/>
  <c r="H47" i="37" s="1"/>
  <c r="W7" i="37"/>
  <c r="R43" i="37"/>
  <c r="E42" i="37"/>
  <c r="E36" i="36"/>
  <c r="R37" i="36"/>
  <c r="G46" i="37"/>
  <c r="H46" i="37" s="1"/>
  <c r="AB7" i="21"/>
  <c r="T48" i="21" s="1"/>
  <c r="G48" i="21" s="1"/>
  <c r="U7" i="21"/>
  <c r="S7" i="34"/>
  <c r="AA7" i="34"/>
  <c r="R49" i="34" s="1"/>
  <c r="C23" i="11"/>
  <c r="C19" i="67"/>
  <c r="C20" i="67" s="1"/>
  <c r="C26" i="67" s="1"/>
  <c r="C48" i="15"/>
  <c r="C60" i="15" s="1"/>
  <c r="C59" i="15" s="1"/>
  <c r="J18" i="67"/>
  <c r="J19" i="67"/>
  <c r="J5" i="67"/>
  <c r="J26" i="67" s="1"/>
  <c r="AB10" i="40"/>
  <c r="U10" i="40"/>
  <c r="S10" i="40"/>
  <c r="AC10" i="40"/>
  <c r="W10" i="40"/>
  <c r="L16" i="1"/>
  <c r="C34" i="68"/>
  <c r="C34" i="11"/>
  <c r="C47" i="69"/>
  <c r="D45" i="69" s="1"/>
  <c r="C29" i="69"/>
  <c r="D27" i="69" s="1"/>
  <c r="F45" i="69"/>
  <c r="C47" i="68"/>
  <c r="D45" i="68" s="1"/>
  <c r="C29" i="68"/>
  <c r="D27" i="68" s="1"/>
  <c r="F45" i="68"/>
  <c r="W10" i="39"/>
  <c r="AC10" i="39"/>
  <c r="U10" i="39"/>
  <c r="AB10" i="39"/>
  <c r="AA10" i="39"/>
  <c r="S10" i="39"/>
  <c r="C20" i="11"/>
  <c r="C28" i="11" s="1"/>
  <c r="C27" i="11" s="1"/>
  <c r="D17" i="12"/>
  <c r="C17" i="12" s="1"/>
  <c r="C14" i="12"/>
  <c r="C16" i="12" s="1"/>
  <c r="D10" i="69"/>
  <c r="D10" i="11"/>
  <c r="C10" i="11" s="1"/>
  <c r="D20" i="12"/>
  <c r="C20" i="12" s="1"/>
  <c r="D10" i="68"/>
  <c r="S19" i="6"/>
  <c r="S27" i="6" s="1"/>
  <c r="I27" i="6"/>
  <c r="N16" i="1"/>
  <c r="C47" i="11"/>
  <c r="D45" i="11" s="1"/>
  <c r="C29" i="11"/>
  <c r="D27" i="11" s="1"/>
  <c r="D19" i="6"/>
  <c r="H19" i="6"/>
  <c r="D15" i="6"/>
  <c r="D21" i="6"/>
  <c r="D20" i="6"/>
  <c r="D26" i="6"/>
  <c r="D14" i="6"/>
  <c r="D9" i="6"/>
  <c r="L19" i="9"/>
  <c r="H25" i="6"/>
  <c r="H21" i="6"/>
  <c r="C18" i="4"/>
  <c r="D5" i="6"/>
  <c r="D11" i="6"/>
  <c r="D28" i="6"/>
  <c r="E61" i="40"/>
  <c r="H20" i="6"/>
  <c r="D25" i="6"/>
  <c r="R25" i="6" s="1"/>
  <c r="D22" i="6"/>
  <c r="D24" i="6"/>
  <c r="M19" i="9"/>
  <c r="C118" i="9" s="1"/>
  <c r="D8" i="6"/>
  <c r="D6" i="6"/>
  <c r="D10" i="6"/>
  <c r="D29" i="6"/>
  <c r="H22" i="6"/>
  <c r="H24" i="6"/>
  <c r="D23" i="6"/>
  <c r="D12" i="6"/>
  <c r="D13" i="6"/>
  <c r="H26" i="6"/>
  <c r="H23" i="6"/>
  <c r="D53" i="43"/>
  <c r="J53" i="43"/>
  <c r="D55" i="43"/>
  <c r="J55" i="43"/>
  <c r="D52" i="43"/>
  <c r="J52" i="43"/>
  <c r="J56" i="43"/>
  <c r="D56" i="43"/>
  <c r="C26" i="11"/>
  <c r="D22" i="11" s="1"/>
  <c r="C66" i="67"/>
  <c r="C60" i="67"/>
  <c r="C48" i="85"/>
  <c r="C49" i="85"/>
  <c r="L37" i="43"/>
  <c r="O37" i="43" s="1"/>
  <c r="Q36" i="43"/>
  <c r="C24" i="11"/>
  <c r="C25" i="11"/>
  <c r="F41" i="68"/>
  <c r="C44" i="68"/>
  <c r="D41" i="68" s="1"/>
  <c r="O36" i="43"/>
  <c r="C23" i="15"/>
  <c r="M36" i="43"/>
  <c r="P36" i="43"/>
  <c r="E48" i="33"/>
  <c r="C26" i="15"/>
  <c r="C38" i="15"/>
  <c r="AE6" i="1"/>
  <c r="F41" i="67" s="1"/>
  <c r="F6" i="67"/>
  <c r="J24" i="15" l="1"/>
  <c r="E50" i="43"/>
  <c r="B48" i="43" s="1"/>
  <c r="C28" i="43" s="1"/>
  <c r="C33" i="43" s="1"/>
  <c r="F69" i="67"/>
  <c r="J29" i="67"/>
  <c r="R49" i="33"/>
  <c r="C49" i="33" s="1"/>
  <c r="G53" i="33"/>
  <c r="H53" i="33" s="1"/>
  <c r="C66" i="15"/>
  <c r="R50" i="34"/>
  <c r="E49" i="34"/>
  <c r="E40" i="36"/>
  <c r="F40" i="36" s="1"/>
  <c r="E41" i="36"/>
  <c r="F41" i="36" s="1"/>
  <c r="C42" i="37"/>
  <c r="C43" i="37"/>
  <c r="I46" i="37"/>
  <c r="J46" i="37" s="1"/>
  <c r="I47" i="37"/>
  <c r="J47" i="37" s="1"/>
  <c r="C38" i="35"/>
  <c r="C39" i="35"/>
  <c r="M3" i="35" s="1"/>
  <c r="G67" i="39"/>
  <c r="F69" i="39"/>
  <c r="I41" i="36"/>
  <c r="J41" i="36" s="1"/>
  <c r="G52" i="21"/>
  <c r="H52" i="21" s="1"/>
  <c r="G53" i="21"/>
  <c r="H53" i="21" s="1"/>
  <c r="C37" i="36"/>
  <c r="C36" i="36"/>
  <c r="E47" i="37"/>
  <c r="F47" i="37" s="1"/>
  <c r="E46" i="37"/>
  <c r="F46" i="37" s="1"/>
  <c r="G63" i="40"/>
  <c r="F65" i="40"/>
  <c r="E43" i="35"/>
  <c r="F43" i="35" s="1"/>
  <c r="E42" i="35"/>
  <c r="F42" i="35" s="1"/>
  <c r="G53" i="34"/>
  <c r="H53" i="34" s="1"/>
  <c r="G54" i="34"/>
  <c r="H54" i="34" s="1"/>
  <c r="E48" i="21"/>
  <c r="R49" i="21"/>
  <c r="I43" i="35"/>
  <c r="J43" i="35" s="1"/>
  <c r="G52" i="85"/>
  <c r="H52" i="85" s="1"/>
  <c r="E53" i="85"/>
  <c r="F53" i="85" s="1"/>
  <c r="G53" i="85"/>
  <c r="H53" i="85" s="1"/>
  <c r="C23" i="67"/>
  <c r="C29" i="67" s="1"/>
  <c r="J59" i="67" s="1"/>
  <c r="J60" i="67" s="1"/>
  <c r="L46" i="67" s="1"/>
  <c r="J24" i="67"/>
  <c r="R22" i="6"/>
  <c r="D30" i="6"/>
  <c r="R20" i="6"/>
  <c r="R19" i="6"/>
  <c r="D27" i="6"/>
  <c r="D31" i="6" s="1"/>
  <c r="C10" i="68"/>
  <c r="D19" i="68"/>
  <c r="C38" i="11"/>
  <c r="C35" i="11"/>
  <c r="R23" i="6"/>
  <c r="D16" i="6"/>
  <c r="R24" i="6"/>
  <c r="C4" i="52"/>
  <c r="B45" i="72" s="1"/>
  <c r="A7" i="51"/>
  <c r="B7" i="72" s="1"/>
  <c r="A10" i="51"/>
  <c r="B9" i="72" s="1"/>
  <c r="R26" i="6"/>
  <c r="R21" i="6"/>
  <c r="H27" i="6"/>
  <c r="F50" i="69"/>
  <c r="F50" i="11"/>
  <c r="F50" i="68"/>
  <c r="C10" i="69"/>
  <c r="B29" i="1" s="1"/>
  <c r="D19" i="69"/>
  <c r="D37" i="69" s="1"/>
  <c r="C37" i="69" s="1"/>
  <c r="C33" i="69" s="1"/>
  <c r="C35" i="68"/>
  <c r="C38" i="68"/>
  <c r="M37" i="43"/>
  <c r="T3" i="43"/>
  <c r="V3" i="43" s="1"/>
  <c r="T5" i="43"/>
  <c r="V5" i="43" s="1"/>
  <c r="T13" i="43"/>
  <c r="V13" i="43" s="1"/>
  <c r="T11" i="43"/>
  <c r="V11" i="43" s="1"/>
  <c r="C41" i="43"/>
  <c r="N37" i="43"/>
  <c r="P37" i="43"/>
  <c r="C6" i="67"/>
  <c r="F31" i="67"/>
  <c r="B3" i="85"/>
  <c r="B2" i="85"/>
  <c r="Q37" i="43"/>
  <c r="C22" i="11"/>
  <c r="C31" i="11" s="1"/>
  <c r="C29" i="15"/>
  <c r="C57" i="15" s="1"/>
  <c r="C64" i="15" s="1"/>
  <c r="E53" i="33"/>
  <c r="F53" i="33" s="1"/>
  <c r="E52" i="33"/>
  <c r="F52" i="33" s="1"/>
  <c r="I53" i="33"/>
  <c r="J53" i="33" s="1"/>
  <c r="C48" i="33" l="1"/>
  <c r="J14" i="67"/>
  <c r="J13" i="67" s="1"/>
  <c r="J23" i="67" s="1"/>
  <c r="C38" i="43"/>
  <c r="T4" i="43"/>
  <c r="V4" i="43" s="1"/>
  <c r="T8" i="43"/>
  <c r="V8" i="43" s="1"/>
  <c r="C42" i="43"/>
  <c r="T7" i="43"/>
  <c r="V7" i="43" s="1"/>
  <c r="T9" i="43"/>
  <c r="V9" i="43" s="1"/>
  <c r="C39" i="43"/>
  <c r="T2" i="43"/>
  <c r="V2" i="43" s="1"/>
  <c r="T14" i="43"/>
  <c r="V14" i="43" s="1"/>
  <c r="T6" i="43"/>
  <c r="V6" i="43" s="1"/>
  <c r="T16" i="43"/>
  <c r="V16" i="43" s="1"/>
  <c r="C37" i="43"/>
  <c r="C40" i="43"/>
  <c r="T10" i="43"/>
  <c r="V10" i="43" s="1"/>
  <c r="T15" i="43"/>
  <c r="V15" i="43" s="1"/>
  <c r="T12" i="43"/>
  <c r="V12" i="43" s="1"/>
  <c r="Q48" i="67"/>
  <c r="Q49" i="67"/>
  <c r="C57" i="67"/>
  <c r="C64" i="67" s="1"/>
  <c r="C13" i="67"/>
  <c r="C37" i="67" s="1"/>
  <c r="C36" i="67"/>
  <c r="C48" i="21"/>
  <c r="C49" i="21"/>
  <c r="H63" i="40"/>
  <c r="G65" i="40"/>
  <c r="E54" i="34"/>
  <c r="F54" i="34" s="1"/>
  <c r="E53" i="34"/>
  <c r="F53" i="34" s="1"/>
  <c r="I54" i="34"/>
  <c r="J54" i="34" s="1"/>
  <c r="C33" i="11"/>
  <c r="C42" i="11" s="1"/>
  <c r="E52" i="21"/>
  <c r="F52" i="21" s="1"/>
  <c r="E53" i="21"/>
  <c r="F53" i="21" s="1"/>
  <c r="I53" i="21"/>
  <c r="J53" i="21" s="1"/>
  <c r="G69" i="39"/>
  <c r="H67" i="39"/>
  <c r="C49" i="34"/>
  <c r="C50" i="34"/>
  <c r="C36" i="15"/>
  <c r="J22" i="67"/>
  <c r="C8" i="69"/>
  <c r="D37" i="68"/>
  <c r="C37" i="68" s="1"/>
  <c r="C33" i="68" s="1"/>
  <c r="C19" i="68"/>
  <c r="I6" i="6"/>
  <c r="I5" i="6"/>
  <c r="C39" i="69"/>
  <c r="C42" i="69"/>
  <c r="R6" i="1"/>
  <c r="R27" i="6"/>
  <c r="E38" i="43"/>
  <c r="G38" i="43"/>
  <c r="I38" i="43" s="1"/>
  <c r="G41" i="43"/>
  <c r="I41" i="43" s="1"/>
  <c r="E41" i="43"/>
  <c r="E42" i="43"/>
  <c r="G42" i="43"/>
  <c r="I42" i="43" s="1"/>
  <c r="G39" i="43"/>
  <c r="I39" i="43" s="1"/>
  <c r="E39" i="43"/>
  <c r="G37" i="43"/>
  <c r="I37" i="43" s="1"/>
  <c r="E37" i="43"/>
  <c r="E40" i="43"/>
  <c r="G40" i="43"/>
  <c r="I40" i="43" s="1"/>
  <c r="C34" i="43"/>
  <c r="E34" i="43" s="1"/>
  <c r="E33" i="43"/>
  <c r="C32" i="67"/>
  <c r="C33" i="67"/>
  <c r="C10" i="67"/>
  <c r="C5" i="67" s="1"/>
  <c r="C38" i="67" s="1"/>
  <c r="Q49" i="15"/>
  <c r="C13" i="15"/>
  <c r="C75" i="15" s="1"/>
  <c r="J59" i="15"/>
  <c r="J60" i="15" s="1"/>
  <c r="L46" i="15" s="1"/>
  <c r="J14" i="15"/>
  <c r="J13" i="15" s="1"/>
  <c r="J23" i="15" s="1"/>
  <c r="B3" i="33"/>
  <c r="Y20" i="1" s="1"/>
  <c r="B2" i="33"/>
  <c r="M21" i="67"/>
  <c r="F35" i="67"/>
  <c r="C56" i="67" l="1"/>
  <c r="C65" i="67" s="1"/>
  <c r="C39" i="11"/>
  <c r="C43" i="11" s="1"/>
  <c r="C41" i="11" s="1"/>
  <c r="C75" i="67"/>
  <c r="Q70" i="67"/>
  <c r="H69" i="39"/>
  <c r="I67" i="39"/>
  <c r="I63" i="40"/>
  <c r="H65" i="40"/>
  <c r="C8" i="68"/>
  <c r="C5" i="68" s="1"/>
  <c r="C23" i="68" s="1"/>
  <c r="C18" i="12"/>
  <c r="C21" i="12" s="1"/>
  <c r="C30" i="43"/>
  <c r="C34" i="67"/>
  <c r="C31" i="67" s="1"/>
  <c r="C30" i="67" s="1"/>
  <c r="C39" i="67" s="1"/>
  <c r="F63" i="67"/>
  <c r="C62" i="67" s="1"/>
  <c r="C59" i="67" s="1"/>
  <c r="C58" i="67" s="1"/>
  <c r="C67" i="67" s="1"/>
  <c r="C68" i="67" s="1"/>
  <c r="C71" i="67" s="1"/>
  <c r="J20" i="67"/>
  <c r="J17" i="67" s="1"/>
  <c r="J16" i="67" s="1"/>
  <c r="J25" i="67" s="1"/>
  <c r="R16" i="1"/>
  <c r="C46" i="69"/>
  <c r="C45" i="69" s="1"/>
  <c r="C43" i="69"/>
  <c r="C41" i="69" s="1"/>
  <c r="C39" i="68"/>
  <c r="C42" i="68"/>
  <c r="C24" i="68"/>
  <c r="B2" i="43"/>
  <c r="C31" i="43"/>
  <c r="C56" i="15"/>
  <c r="C65" i="15" s="1"/>
  <c r="C58" i="15" s="1"/>
  <c r="C67" i="15" s="1"/>
  <c r="C68" i="15" s="1"/>
  <c r="C71" i="15" s="1"/>
  <c r="J22" i="15"/>
  <c r="J16" i="15" s="1"/>
  <c r="J25" i="15" s="1"/>
  <c r="Q70" i="15"/>
  <c r="Q48" i="15"/>
  <c r="C37" i="15"/>
  <c r="C30" i="15" s="1"/>
  <c r="C39" i="15" s="1"/>
  <c r="C40" i="15" s="1"/>
  <c r="E6" i="76"/>
  <c r="L51" i="15"/>
  <c r="B6" i="76"/>
  <c r="L51" i="67"/>
  <c r="C46" i="11" l="1"/>
  <c r="C45" i="11" s="1"/>
  <c r="C49" i="11" s="1"/>
  <c r="C51" i="11" s="1"/>
  <c r="C20" i="68"/>
  <c r="C25" i="68" s="1"/>
  <c r="C22" i="68" s="1"/>
  <c r="J67" i="39"/>
  <c r="I69" i="39"/>
  <c r="J63" i="40"/>
  <c r="I65" i="40"/>
  <c r="C49" i="69"/>
  <c r="C51" i="69" s="1"/>
  <c r="C22" i="12"/>
  <c r="C30" i="12" s="1"/>
  <c r="C28" i="12" s="1"/>
  <c r="C46" i="68"/>
  <c r="C45" i="68" s="1"/>
  <c r="C43" i="68"/>
  <c r="C41" i="68" s="1"/>
  <c r="E2" i="76"/>
  <c r="B2" i="76"/>
  <c r="B3" i="43"/>
  <c r="C6" i="69" s="1"/>
  <c r="C40" i="67"/>
  <c r="D2" i="67" s="1"/>
  <c r="H39" i="67"/>
  <c r="C80" i="67"/>
  <c r="C79" i="67" s="1"/>
  <c r="Q69" i="15"/>
  <c r="Q69" i="67"/>
  <c r="Q68" i="67" s="1"/>
  <c r="Q68" i="15"/>
  <c r="Q67" i="67"/>
  <c r="C80" i="15"/>
  <c r="C79" i="15" s="1"/>
  <c r="Q67" i="15"/>
  <c r="L57" i="15"/>
  <c r="L60" i="15" s="1"/>
  <c r="Q47" i="15"/>
  <c r="Q53" i="15" s="1"/>
  <c r="C43" i="15"/>
  <c r="Q56" i="15"/>
  <c r="Q65" i="15"/>
  <c r="B2" i="15"/>
  <c r="B3" i="15" s="1"/>
  <c r="C83" i="15"/>
  <c r="C82" i="15" s="1"/>
  <c r="C46" i="15"/>
  <c r="C7" i="69" l="1"/>
  <c r="C5" i="69" s="1"/>
  <c r="C28" i="68"/>
  <c r="C27" i="68" s="1"/>
  <c r="C31" i="68" s="1"/>
  <c r="C52" i="11"/>
  <c r="B2" i="11" s="1"/>
  <c r="B3" i="11" s="1"/>
  <c r="K63" i="40"/>
  <c r="J65" i="40"/>
  <c r="K67" i="39"/>
  <c r="J69" i="39"/>
  <c r="C49" i="68"/>
  <c r="C51" i="68" s="1"/>
  <c r="C27" i="12"/>
  <c r="C25" i="12" s="1"/>
  <c r="C32" i="12" s="1"/>
  <c r="B2" i="12" s="1"/>
  <c r="B3" i="12" s="1"/>
  <c r="B3" i="76"/>
  <c r="C43" i="67"/>
  <c r="B2" i="67"/>
  <c r="I39" i="67"/>
  <c r="Q56" i="67"/>
  <c r="Q62" i="67" s="1"/>
  <c r="B3" i="67"/>
  <c r="Q65" i="67"/>
  <c r="Q75" i="67" s="1"/>
  <c r="Q47" i="67"/>
  <c r="Q53" i="67" s="1"/>
  <c r="C45" i="67"/>
  <c r="C46" i="67" s="1"/>
  <c r="C83" i="67"/>
  <c r="C82" i="67" s="1"/>
  <c r="Q66" i="15"/>
  <c r="Q75" i="15" s="1"/>
  <c r="Q57" i="15"/>
  <c r="Q62" i="15" s="1"/>
  <c r="D34" i="9"/>
  <c r="AO6" i="1"/>
  <c r="D20" i="9"/>
  <c r="D19" i="9"/>
  <c r="D35" i="9"/>
  <c r="C23" i="69" l="1"/>
  <c r="C20" i="69"/>
  <c r="C25" i="69" s="1"/>
  <c r="C56" i="11"/>
  <c r="C57" i="11" s="1"/>
  <c r="K69" i="39"/>
  <c r="L67" i="39"/>
  <c r="L63" i="40"/>
  <c r="K65" i="40"/>
  <c r="C52" i="68"/>
  <c r="B2" i="68" s="1"/>
  <c r="B3" i="68" s="1"/>
  <c r="B6" i="70"/>
  <c r="B2" i="70" s="1"/>
  <c r="B3" i="70" s="1"/>
  <c r="D21" i="9"/>
  <c r="D102" i="9"/>
  <c r="D103" i="9"/>
  <c r="C28" i="69" l="1"/>
  <c r="C27" i="69" s="1"/>
  <c r="C57" i="68"/>
  <c r="C56" i="68" s="1"/>
  <c r="C22" i="69"/>
  <c r="L69" i="39"/>
  <c r="M67" i="39"/>
  <c r="M63" i="40"/>
  <c r="L65" i="40"/>
  <c r="C31" i="69" l="1"/>
  <c r="C52" i="69" s="1"/>
  <c r="C57" i="69" s="1"/>
  <c r="C56" i="69" s="1"/>
  <c r="M69" i="39"/>
  <c r="N67" i="39"/>
  <c r="M65" i="40"/>
  <c r="N63" i="40"/>
  <c r="B2" i="69" l="1"/>
  <c r="B3" i="69" s="1"/>
  <c r="O63" i="40"/>
  <c r="O65" i="40" s="1"/>
  <c r="N65" i="40"/>
  <c r="O67" i="39"/>
  <c r="O69" i="39" s="1"/>
  <c r="N69" i="39"/>
  <c r="C19" i="9"/>
  <c r="C20" i="9"/>
  <c r="D22" i="9" l="1"/>
  <c r="C21" i="9"/>
  <c r="C102" i="9"/>
  <c r="G19" i="9"/>
  <c r="G21" i="9" s="1"/>
  <c r="C103" i="9"/>
  <c r="G20" i="9"/>
  <c r="H7" i="39"/>
  <c r="F7" i="39"/>
  <c r="J7" i="39"/>
  <c r="F7" i="40"/>
  <c r="H7" i="40"/>
  <c r="J7" i="40"/>
  <c r="C32" i="9" l="1"/>
  <c r="R24" i="31"/>
  <c r="AC7" i="40"/>
  <c r="V42" i="40" s="1"/>
  <c r="I42" i="40" s="1"/>
  <c r="W7" i="40"/>
  <c r="AA7" i="40"/>
  <c r="R42" i="40" s="1"/>
  <c r="S7" i="40"/>
  <c r="AA7" i="39"/>
  <c r="R47" i="39" s="1"/>
  <c r="S7" i="39"/>
  <c r="U7" i="40"/>
  <c r="AB7" i="40"/>
  <c r="T42" i="40" s="1"/>
  <c r="G42" i="40" s="1"/>
  <c r="AC7" i="39"/>
  <c r="V47" i="39" s="1"/>
  <c r="I47" i="39" s="1"/>
  <c r="W7" i="39"/>
  <c r="U7" i="39"/>
  <c r="AB7" i="39"/>
  <c r="T47" i="39" s="1"/>
  <c r="G47" i="39" s="1"/>
  <c r="R25" i="31" l="1"/>
  <c r="S25" i="31" s="1"/>
  <c r="S24" i="31"/>
  <c r="I118" i="9"/>
  <c r="C35" i="9"/>
  <c r="G118" i="9" s="1"/>
  <c r="G52" i="39"/>
  <c r="H52" i="39" s="1"/>
  <c r="G51" i="39"/>
  <c r="H51" i="39" s="1"/>
  <c r="G46" i="40"/>
  <c r="H46" i="40" s="1"/>
  <c r="G47" i="40"/>
  <c r="H47" i="40" s="1"/>
  <c r="I51" i="39"/>
  <c r="J51" i="39" s="1"/>
  <c r="R48" i="39"/>
  <c r="E47" i="39"/>
  <c r="R43" i="40"/>
  <c r="E42" i="40"/>
  <c r="I47" i="40"/>
  <c r="J47" i="40" s="1"/>
  <c r="I46" i="40"/>
  <c r="J46" i="40" s="1"/>
  <c r="C34" i="9" l="1"/>
  <c r="G4" i="52"/>
  <c r="B52" i="72" s="1"/>
  <c r="F118" i="9"/>
  <c r="S22" i="31"/>
  <c r="H118" i="9"/>
  <c r="H102" i="9"/>
  <c r="I4" i="52"/>
  <c r="C105" i="9"/>
  <c r="E118" i="9"/>
  <c r="E46" i="40"/>
  <c r="F46" i="40" s="1"/>
  <c r="E47" i="40"/>
  <c r="F47" i="40" s="1"/>
  <c r="E51" i="39"/>
  <c r="F51" i="39" s="1"/>
  <c r="E52" i="39"/>
  <c r="F52" i="39" s="1"/>
  <c r="I52" i="39"/>
  <c r="J52" i="39" s="1"/>
  <c r="C42" i="40"/>
  <c r="C43" i="40"/>
  <c r="C47" i="39"/>
  <c r="C48" i="39"/>
  <c r="I101" i="9" l="1"/>
  <c r="D7" i="53"/>
  <c r="B21" i="72" s="1"/>
  <c r="E4" i="52"/>
  <c r="B48" i="72" s="1"/>
  <c r="D118" i="9"/>
  <c r="H101" i="9"/>
  <c r="H4" i="52"/>
  <c r="C104" i="9"/>
  <c r="H119" i="9"/>
  <c r="H5" i="52" s="1"/>
  <c r="F4" i="52"/>
  <c r="B51" i="72" s="1"/>
  <c r="F119" i="9"/>
  <c r="F5" i="52" s="1"/>
  <c r="B53" i="72" s="1"/>
  <c r="B20" i="31"/>
  <c r="B21" i="31" s="1"/>
  <c r="R22" i="31"/>
  <c r="B56" i="39"/>
  <c r="F56" i="39" s="1"/>
  <c r="F65" i="39" s="1"/>
  <c r="B2" i="39" s="1"/>
  <c r="B3" i="39" s="1"/>
  <c r="B64" i="39"/>
  <c r="F64" i="39" s="1"/>
  <c r="B61" i="39"/>
  <c r="F61" i="39" s="1"/>
  <c r="B57" i="39"/>
  <c r="F57" i="39" s="1"/>
  <c r="B58" i="39"/>
  <c r="F58" i="39" s="1"/>
  <c r="B60" i="39"/>
  <c r="F60" i="39" s="1"/>
  <c r="B62" i="39"/>
  <c r="F62" i="39" s="1"/>
  <c r="B63" i="39"/>
  <c r="F63" i="39" s="1"/>
  <c r="B59" i="39"/>
  <c r="F59" i="39" s="1"/>
  <c r="B56" i="40"/>
  <c r="F56" i="40" s="1"/>
  <c r="B51" i="40"/>
  <c r="F51" i="40" s="1"/>
  <c r="B54" i="40"/>
  <c r="F54" i="40" s="1"/>
  <c r="B52" i="40"/>
  <c r="F52" i="40" s="1"/>
  <c r="B57" i="40"/>
  <c r="F57" i="40" s="1"/>
  <c r="B60" i="40"/>
  <c r="F60" i="40" s="1"/>
  <c r="B59" i="40"/>
  <c r="F59" i="40" s="1"/>
  <c r="B53" i="40"/>
  <c r="F53" i="40" s="1"/>
  <c r="B58" i="40"/>
  <c r="F58" i="40" s="1"/>
  <c r="F61" i="40"/>
  <c r="B2" i="40" s="1"/>
  <c r="B3" i="40" s="1"/>
  <c r="D119" i="9" l="1"/>
  <c r="D5" i="52" s="1"/>
  <c r="B49" i="72" s="1"/>
  <c r="D4" i="52"/>
  <c r="B47" i="72" s="1"/>
  <c r="D45" i="9"/>
  <c r="M48" i="9"/>
  <c r="D5" i="53"/>
  <c r="D14" i="74"/>
  <c r="H107" i="9"/>
  <c r="C85" i="9" l="1"/>
  <c r="D52" i="9"/>
  <c r="C93" i="9"/>
  <c r="C86" i="9" s="1"/>
  <c r="C72" i="9"/>
  <c r="C78" i="9"/>
  <c r="C73" i="9" s="1"/>
  <c r="D55" i="9"/>
  <c r="M53" i="9" s="1"/>
  <c r="C64" i="9"/>
  <c r="C63" i="9" s="1"/>
  <c r="C67" i="9" s="1"/>
  <c r="D53" i="9"/>
  <c r="F14" i="74"/>
  <c r="B5" i="74"/>
  <c r="E14" i="74"/>
  <c r="M49" i="9"/>
  <c r="H108" i="9"/>
  <c r="D15" i="53" s="1"/>
  <c r="B31" i="72" s="1"/>
  <c r="D122" i="9"/>
  <c r="G14" i="74"/>
  <c r="B6" i="74" s="1"/>
  <c r="D13" i="53"/>
  <c r="D6" i="53"/>
  <c r="B22" i="72" s="1"/>
  <c r="B20" i="72"/>
  <c r="C6" i="74" l="1"/>
  <c r="D6" i="74"/>
  <c r="B30" i="72"/>
  <c r="D14" i="53"/>
  <c r="B32" i="72" s="1"/>
  <c r="D123" i="9"/>
  <c r="D9" i="52" s="1"/>
  <c r="D8" i="52"/>
  <c r="L66" i="9"/>
  <c r="M66" i="9" s="1"/>
  <c r="L63" i="9"/>
  <c r="M63" i="9" s="1"/>
  <c r="L67" i="9"/>
  <c r="M67" i="9" s="1"/>
  <c r="L64" i="9"/>
  <c r="M64" i="9" s="1"/>
  <c r="L68" i="9"/>
  <c r="M68" i="9" s="1"/>
  <c r="L65" i="9"/>
  <c r="M65" i="9" s="1"/>
  <c r="D5" i="74"/>
  <c r="C5" i="74"/>
  <c r="C79" i="9"/>
  <c r="C68" i="9"/>
  <c r="D54" i="9" s="1"/>
  <c r="D59" i="9"/>
  <c r="M55" i="9" s="1"/>
  <c r="C95" i="9"/>
  <c r="C80" i="9" l="1"/>
  <c r="E80" i="9" s="1"/>
  <c r="E81" i="9" s="1"/>
  <c r="M69" i="9"/>
  <c r="N69"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<sst xmlns="http://schemas.openxmlformats.org/spreadsheetml/2006/main" count="8351" uniqueCount="3523">
  <si>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</si>
  <si>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</si>
  <si>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</si>
  <si>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</si>
  <si>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</si>
  <si>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</si>
  <si>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</si>
  <si>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</si>
  <si>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</si>
  <si>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</si>
  <si>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</si>
  <si>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</si>
  <si>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</si>
  <si>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</si>
  <si>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</si>
  <si>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</si>
  <si>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</si>
  <si>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</si>
  <si>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</si>
  <si>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</si>
  <si>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</si>
  <si>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</si>
  <si>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</si>
  <si>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</si>
  <si>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</si>
  <si>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</si>
  <si>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</si>
  <si>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</si>
  <si>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</si>
  <si>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</si>
  <si>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</si>
  <si>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</si>
  <si>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</si>
  <si>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</si>
  <si>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</si>
  <si>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</si>
  <si>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</si>
  <si>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</si>
  <si>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</si>
  <si>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</si>
  <si>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</si>
  <si>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</si>
  <si>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</si>
  <si>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</si>
  <si>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</si>
  <si>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</si>
  <si>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</si>
  <si>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</si>
  <si>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</si>
  <si>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</si>
  <si>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</si>
  <si>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</si>
  <si>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</si>
  <si>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</si>
  <si>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</si>
  <si>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</si>
  <si>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</si>
  <si>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</si>
  <si>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</si>
  <si>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</si>
  <si>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</si>
  <si>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</si>
  <si>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</si>
  <si>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</si>
  <si>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</si>
  <si>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</si>
  <si>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</si>
  <si>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</si>
  <si>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</si>
  <si>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</si>
  <si>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</si>
  <si>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</si>
  <si>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</si>
  <si>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</si>
  <si>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</si>
  <si>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</si>
  <si>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</si>
  <si>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</si>
  <si>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</si>
  <si>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</si>
  <si>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</si>
  <si>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</si>
  <si>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</si>
  <si>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</si>
  <si>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</si>
  <si>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</si>
  <si>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</si>
  <si>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</si>
  <si>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</si>
  <si>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</si>
  <si>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</si>
  <si>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</si>
  <si>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</si>
  <si>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</si>
  <si>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</si>
  <si>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</si>
  <si>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</si>
  <si>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</si>
  <si>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</si>
  <si>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</si>
  <si>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</si>
  <si>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</si>
  <si>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</si>
  <si>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</si>
  <si>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</si>
  <si>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</si>
  <si>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</si>
  <si>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</si>
  <si>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</si>
  <si>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</si>
  <si>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</si>
  <si>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</si>
  <si>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</si>
  <si>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</si>
  <si>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</si>
  <si>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</si>
  <si>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</si>
  <si>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</si>
  <si>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</si>
  <si>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</si>
  <si>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</si>
  <si>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</si>
  <si>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</si>
  <si>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</si>
  <si>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</si>
  <si>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</si>
  <si>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</si>
  <si>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</si>
  <si>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</si>
  <si>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</si>
  <si>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</si>
  <si>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</si>
  <si>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</si>
  <si>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</si>
  <si>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</si>
  <si>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</si>
  <si>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</si>
  <si>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</si>
  <si>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</si>
  <si>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</si>
  <si>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</si>
  <si>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</si>
  <si>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</si>
  <si>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</si>
  <si>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</si>
  <si>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</si>
  <si>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</si>
  <si>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</si>
  <si>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</si>
  <si>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</si>
  <si>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</si>
  <si>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</si>
  <si>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</si>
  <si>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</si>
  <si>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</si>
  <si>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</si>
  <si>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</si>
  <si>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</si>
  <si>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</si>
  <si>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</si>
  <si>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</si>
  <si>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</si>
  <si>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</si>
  <si>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</si>
  <si>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</si>
  <si>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</si>
  <si>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</si>
  <si>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</si>
  <si>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</si>
  <si>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</si>
  <si>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</si>
  <si>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</si>
  <si>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</si>
  <si>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</si>
  <si>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</si>
  <si>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</si>
  <si>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</si>
  <si>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</si>
  <si>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</si>
  <si>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</si>
  <si>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</si>
  <si>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</si>
  <si>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</si>
  <si>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</si>
  <si>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</si>
  <si>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</si>
  <si>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</si>
  <si>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</si>
  <si>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</si>
  <si>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</si>
  <si>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</si>
  <si>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</si>
  <si>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</si>
  <si>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</si>
  <si>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</si>
  <si>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</si>
  <si>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</si>
  <si>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</si>
  <si>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</si>
  <si>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</si>
  <si>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</si>
  <si>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</si>
  <si>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</si>
  <si>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</si>
  <si>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</si>
  <si>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</si>
  <si>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</si>
  <si>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</si>
  <si>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</si>
  <si>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</si>
  <si>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</si>
  <si>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</si>
  <si>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</si>
  <si>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</si>
  <si>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</si>
  <si>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</si>
  <si>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</si>
  <si>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</si>
  <si>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</si>
  <si>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</si>
  <si>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</si>
  <si>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</si>
  <si>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</si>
  <si>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</si>
  <si>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</si>
  <si>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</si>
  <si>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</si>
  <si>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</si>
  <si>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</si>
  <si>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</si>
  <si>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</si>
  <si>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</si>
  <si>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</si>
  <si>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</si>
  <si>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</si>
  <si>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</si>
  <si>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</si>
  <si>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</si>
  <si>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</si>
  <si>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</si>
  <si>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</si>
  <si>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</si>
  <si>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</si>
  <si>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</si>
  <si>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</si>
  <si>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</si>
  <si>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</si>
  <si>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</si>
  <si>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</si>
  <si>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</si>
  <si>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</si>
  <si>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</si>
  <si>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</si>
  <si>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</si>
  <si>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</si>
  <si>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</si>
  <si>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</si>
  <si>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</si>
  <si>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</si>
  <si>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</si>
  <si>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</si>
  <si>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</si>
  <si>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</si>
  <si>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</si>
  <si>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</si>
  <si>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</si>
  <si>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</si>
  <si>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</si>
  <si>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</si>
  <si>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</si>
  <si>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</si>
  <si>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</si>
  <si>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</si>
  <si>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</si>
  <si>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</si>
  <si>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</si>
  <si>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</si>
  <si>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</si>
  <si>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</si>
  <si>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</si>
  <si>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</si>
  <si>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</si>
  <si>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</si>
  <si>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</si>
  <si>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</si>
  <si>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</si>
  <si>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</si>
  <si>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</si>
  <si>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</si>
  <si>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</si>
  <si>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</si>
  <si>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</si>
  <si>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</si>
  <si>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</si>
  <si>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</si>
  <si>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</si>
  <si>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</si>
  <si>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</si>
  <si>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</si>
  <si>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</si>
  <si>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</si>
  <si>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</si>
  <si>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</si>
  <si>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</si>
  <si>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</si>
  <si>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</si>
  <si>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</si>
  <si>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</si>
  <si>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</si>
  <si>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</si>
  <si>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</si>
  <si>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</si>
  <si>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</si>
  <si>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</si>
  <si>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</si>
  <si>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</si>
  <si>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</si>
  <si>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</si>
  <si>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</si>
  <si>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</si>
  <si>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</si>
  <si>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</si>
  <si>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</si>
  <si>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</si>
  <si>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</si>
  <si>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</si>
  <si>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</si>
  <si>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</si>
  <si>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</si>
  <si>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</si>
  <si>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</si>
  <si>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</si>
  <si>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</si>
  <si>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</si>
  <si>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</si>
  <si>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</si>
  <si>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</si>
  <si>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</si>
  <si>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</si>
  <si>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</si>
  <si>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</si>
  <si>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</si>
  <si>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</si>
  <si>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</si>
  <si>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</si>
  <si>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</si>
  <si>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</si>
  <si>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</si>
  <si>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</si>
  <si>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</si>
  <si>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</si>
  <si>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</si>
  <si>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</si>
  <si>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</si>
  <si>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</si>
  <si>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</si>
  <si>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</si>
  <si>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</si>
  <si>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</si>
  <si>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</si>
  <si>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</si>
  <si>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</si>
  <si>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</si>
  <si>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</si>
  <si>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</si>
  <si>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</si>
  <si>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</si>
  <si>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</si>
  <si>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</si>
  <si>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</si>
  <si>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</si>
  <si>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</si>
  <si>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</si>
  <si>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</si>
  <si>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</si>
  <si>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</si>
  <si>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</si>
  <si>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</si>
  <si>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</si>
  <si>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</si>
  <si>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</si>
  <si>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</si>
  <si>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</si>
  <si>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</si>
  <si>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</si>
  <si>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</si>
  <si>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</si>
  <si>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</si>
  <si>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</si>
  <si>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</si>
  <si>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</si>
  <si>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</si>
  <si>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</si>
  <si>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</si>
  <si>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</si>
  <si>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</si>
  <si>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</si>
  <si>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</si>
  <si>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</si>
  <si>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</si>
  <si>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</si>
  <si>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</si>
  <si>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</si>
  <si>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</si>
  <si>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</si>
  <si>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</si>
  <si>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</si>
  <si>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</si>
  <si>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</si>
  <si>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</si>
  <si>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</si>
  <si>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</si>
  <si>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</si>
  <si>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</si>
  <si>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</si>
  <si>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</si>
  <si>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</si>
  <si>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</si>
  <si>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</si>
  <si>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</si>
  <si>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</si>
  <si>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</si>
  <si>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</si>
  <si>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</si>
  <si>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</si>
  <si>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</si>
  <si>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</si>
  <si>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</si>
  <si>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</si>
  <si>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</si>
  <si>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</si>
  <si>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</si>
  <si>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</si>
  <si>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</si>
  <si>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</si>
  <si>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</si>
  <si>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</si>
  <si>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</si>
  <si>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</si>
  <si>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</si>
  <si>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</si>
  <si>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</si>
  <si>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</si>
  <si>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</si>
  <si>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</si>
  <si>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</si>
  <si>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</si>
  <si>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</si>
  <si>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</si>
  <si>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</si>
  <si>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</si>
  <si>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</si>
  <si>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</si>
  <si>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</si>
  <si>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</si>
  <si>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</si>
  <si>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</si>
  <si>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</si>
  <si>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</si>
  <si>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</si>
  <si>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</si>
  <si>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</si>
  <si>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</si>
  <si>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</si>
  <si>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</si>
  <si>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</si>
  <si>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</si>
  <si>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</si>
  <si>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</si>
  <si>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</si>
  <si>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</si>
  <si>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</si>
  <si>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</si>
  <si>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</si>
  <si>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</si>
  <si>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</si>
  <si>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</si>
  <si>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</si>
  <si>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</si>
  <si>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</si>
  <si>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</si>
  <si>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</si>
  <si>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</si>
  <si>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</si>
  <si>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</si>
  <si>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</si>
  <si>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</si>
  <si>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</si>
  <si>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</si>
  <si>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</si>
  <si>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</si>
  <si>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</si>
  <si>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</si>
  <si>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</si>
  <si>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</si>
  <si>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</si>
  <si>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</si>
  <si>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</si>
  <si>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</si>
  <si>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</si>
  <si>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</si>
  <si>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</si>
  <si>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</si>
  <si>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</si>
  <si>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</si>
  <si>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</si>
  <si>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</si>
  <si>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</si>
  <si>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</si>
  <si>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</si>
  <si>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</si>
  <si>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</si>
  <si>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</si>
  <si>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</si>
  <si>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</si>
  <si>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</si>
  <si>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</si>
  <si>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</si>
  <si>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</si>
  <si>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</si>
  <si>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</si>
  <si>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</si>
  <si>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</si>
  <si>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</si>
  <si>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</si>
  <si>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</si>
  <si>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</si>
  <si>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</si>
  <si>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</si>
  <si>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</si>
  <si>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</si>
  <si>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</si>
  <si>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</si>
  <si>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</si>
  <si>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</si>
  <si>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</si>
  <si>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</si>
  <si>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</si>
  <si>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</si>
  <si>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</si>
  <si>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</si>
  <si>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</si>
  <si>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</si>
  <si>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</si>
  <si>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</si>
  <si>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</si>
  <si>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</si>
  <si>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</si>
  <si>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</si>
  <si>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</si>
  <si>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</si>
  <si>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</si>
  <si>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</si>
  <si>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</si>
  <si>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</si>
  <si>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</si>
  <si>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</si>
  <si>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</si>
  <si>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</si>
  <si>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</si>
  <si>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</si>
  <si>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</si>
  <si>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</si>
  <si>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</si>
  <si>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</si>
  <si>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</si>
  <si>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</si>
  <si>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</si>
  <si>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</si>
  <si>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</si>
  <si>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</si>
  <si>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</si>
  <si>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</si>
  <si>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</si>
  <si>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</si>
  <si>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</si>
  <si>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</si>
  <si>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</si>
  <si>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</si>
  <si>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</si>
  <si>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</si>
  <si>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</si>
  <si>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</si>
  <si>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</si>
  <si>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</si>
  <si>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</si>
  <si>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</si>
  <si>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</si>
  <si>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</si>
  <si>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</si>
  <si>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</si>
  <si>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</si>
  <si>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</si>
  <si>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</si>
  <si>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</si>
  <si>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</si>
  <si>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</si>
  <si>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</si>
  <si>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</si>
  <si>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</si>
  <si>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</si>
  <si>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</si>
  <si>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</si>
  <si>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</si>
  <si>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</si>
  <si>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</si>
  <si>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</si>
  <si>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</si>
  <si>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</si>
  <si>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</si>
  <si>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</si>
  <si>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</si>
  <si>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</si>
  <si>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</si>
  <si>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</si>
  <si>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</si>
  <si>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</si>
  <si>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</si>
  <si>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</si>
  <si>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</si>
  <si>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</si>
  <si>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</si>
  <si>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</si>
  <si>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</si>
  <si>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</si>
  <si>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</si>
  <si>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</si>
  <si>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</si>
  <si>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</si>
  <si>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</si>
  <si>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</si>
  <si>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</si>
  <si>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</si>
  <si>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</si>
  <si>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</si>
  <si>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</si>
  <si>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</si>
  <si>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</si>
  <si>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</si>
  <si>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</si>
  <si>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</si>
  <si>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</si>
  <si>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</si>
  <si>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</si>
  <si>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</si>
  <si>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</si>
  <si>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</si>
  <si>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</si>
  <si>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</si>
  <si>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</si>
  <si>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</si>
  <si>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</si>
  <si>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</si>
  <si>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</si>
  <si>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</si>
  <si>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</si>
  <si>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</si>
  <si>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</si>
  <si>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</si>
  <si>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</si>
  <si>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</si>
  <si>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</si>
  <si>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</si>
  <si>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</si>
  <si>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</si>
  <si>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</si>
  <si>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</si>
  <si>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</si>
  <si>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</si>
  <si>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</si>
  <si>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</si>
  <si>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</si>
  <si>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</si>
  <si>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</si>
  <si>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</si>
  <si>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</si>
  <si>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</si>
  <si>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</si>
  <si>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</si>
  <si>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</si>
  <si>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</si>
  <si>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</si>
  <si>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</si>
  <si>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</si>
  <si>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</si>
  <si>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</si>
  <si>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</si>
  <si>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</si>
  <si>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</si>
  <si>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</si>
  <si>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</si>
  <si>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</si>
  <si>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</si>
  <si>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</si>
  <si>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</si>
  <si>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</si>
  <si>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</si>
  <si>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</si>
  <si>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</si>
  <si>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</si>
  <si>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</si>
  <si>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</si>
  <si>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</si>
  <si>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</si>
  <si>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</si>
  <si>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</si>
  <si>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</si>
  <si>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</si>
  <si>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</si>
  <si>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</si>
  <si>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</si>
  <si>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</si>
  <si>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</si>
  <si>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</si>
  <si>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</si>
  <si>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</si>
  <si>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</si>
  <si>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</si>
  <si>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</si>
  <si>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</si>
  <si>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</si>
  <si>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</si>
  <si>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</si>
  <si>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</si>
  <si>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</si>
  <si>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</si>
  <si>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</si>
  <si>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</si>
  <si>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</si>
  <si>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</si>
  <si>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</si>
  <si>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</si>
  <si>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</si>
  <si>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</si>
  <si>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</si>
  <si>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</si>
  <si>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</si>
  <si>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</si>
  <si>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</si>
  <si>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</si>
  <si>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</si>
  <si>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</si>
  <si>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</si>
  <si>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</si>
  <si>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</si>
  <si>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</si>
  <si>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</si>
  <si>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</si>
  <si>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</si>
  <si>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</si>
  <si>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</si>
  <si>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</si>
  <si>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</si>
  <si>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</si>
  <si>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</si>
  <si>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</si>
  <si>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</si>
  <si>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</si>
  <si>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</si>
  <si>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</si>
  <si>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</si>
  <si>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</si>
  <si>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</si>
  <si>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</si>
  <si>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</si>
  <si>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</si>
  <si>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</si>
  <si>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</si>
  <si>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</si>
  <si>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</si>
  <si>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</si>
  <si>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</si>
  <si>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</si>
  <si>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</si>
  <si>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</si>
  <si>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</si>
  <si>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</si>
  <si>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</si>
  <si>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</si>
  <si>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</si>
  <si>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</si>
  <si>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</si>
  <si>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</si>
  <si>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</si>
  <si>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</si>
  <si>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</si>
  <si>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</si>
  <si>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</si>
  <si>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</si>
  <si>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</si>
  <si>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</si>
  <si>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</si>
  <si>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</si>
  <si>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</si>
  <si>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</si>
  <si>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</si>
  <si>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</si>
  <si>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</si>
  <si>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</si>
  <si>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</si>
  <si>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</si>
  <si>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</si>
  <si>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</si>
  <si>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</si>
  <si>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</si>
  <si>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</si>
  <si>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</si>
  <si>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</si>
  <si>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</si>
  <si>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</si>
  <si>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</si>
  <si>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</si>
  <si>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</si>
  <si>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</si>
  <si>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</si>
  <si>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</si>
  <si>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</si>
  <si>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</si>
  <si>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</si>
  <si>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</si>
  <si>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</si>
  <si>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</si>
  <si>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</si>
  <si>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</si>
  <si>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</si>
  <si>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</si>
  <si>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</si>
  <si>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</si>
  <si>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</si>
  <si>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</si>
  <si>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</si>
  <si>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</si>
  <si>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</si>
  <si>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</si>
  <si>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</si>
  <si>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</si>
  <si>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</si>
  <si>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</si>
  <si>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</si>
  <si>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</si>
  <si>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</si>
  <si>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</si>
  <si>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</si>
  <si>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</si>
  <si>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</si>
  <si>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</si>
  <si>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</si>
  <si>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</si>
  <si>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</si>
  <si>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</si>
  <si>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</si>
  <si>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</si>
  <si>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</si>
  <si>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</si>
  <si>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</si>
  <si>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</si>
  <si>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</si>
  <si>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</si>
  <si>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</si>
  <si>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</si>
  <si>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</si>
  <si>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</si>
  <si>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</si>
  <si>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</si>
  <si>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</si>
  <si>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</si>
  <si>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</si>
  <si>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</si>
  <si>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</si>
  <si>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</si>
  <si>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</si>
  <si>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</si>
  <si>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</si>
  <si>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</si>
  <si>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</si>
  <si>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</si>
  <si>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</si>
  <si>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</si>
  <si>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</si>
  <si>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</si>
  <si>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</si>
  <si>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</si>
  <si>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</si>
  <si>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</si>
  <si>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</si>
  <si>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</si>
  <si>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</si>
  <si>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</si>
  <si>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</si>
  <si>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</si>
  <si>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</si>
  <si>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</si>
  <si>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</si>
  <si>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</si>
  <si>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</si>
  <si>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</si>
  <si>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</si>
  <si>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</si>
  <si>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</si>
  <si>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</si>
  <si>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</si>
  <si>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</si>
  <si>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</si>
  <si>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</si>
  <si>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</si>
  <si>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</si>
  <si>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</si>
  <si>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</si>
  <si>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</si>
  <si>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</si>
  <si>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</si>
  <si>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</si>
  <si>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</si>
  <si>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</si>
  <si>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</si>
  <si>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</si>
  <si>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</si>
  <si>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</si>
  <si>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</si>
  <si>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</si>
  <si>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</si>
  <si>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</si>
  <si>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</si>
  <si>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</si>
  <si>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</si>
  <si>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</si>
  <si>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</si>
  <si>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</si>
  <si>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</si>
  <si>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</si>
  <si>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</si>
  <si>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</si>
  <si>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</si>
  <si>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</si>
  <si>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</si>
  <si>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</si>
  <si>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</si>
  <si>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</si>
  <si>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</si>
  <si>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</si>
  <si>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</si>
  <si>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</si>
  <si>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</si>
  <si>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</si>
  <si>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</si>
  <si>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</si>
  <si>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</si>
  <si>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</si>
  <si>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</si>
  <si>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</si>
  <si>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</si>
  <si>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</si>
  <si>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</si>
  <si>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</si>
  <si>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</si>
  <si>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</si>
  <si>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</si>
  <si>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</si>
  <si>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</si>
  <si>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</si>
  <si>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</si>
  <si>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</si>
  <si>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</si>
  <si>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</si>
  <si>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</si>
  <si>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</si>
  <si>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</si>
  <si>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</si>
  <si>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</si>
  <si>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</si>
  <si>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</si>
  <si>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</si>
  <si>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</si>
  <si>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</si>
  <si>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</si>
  <si>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</si>
  <si>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</si>
  <si>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</si>
  <si>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</si>
  <si>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</si>
  <si>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</si>
  <si>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</si>
  <si>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</si>
  <si>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</si>
  <si>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</si>
  <si>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</si>
  <si>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</si>
  <si>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</si>
  <si>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</si>
  <si>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</si>
  <si>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</si>
  <si>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</si>
  <si>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</si>
  <si>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</si>
  <si>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</si>
  <si>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</si>
  <si>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</si>
  <si>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</si>
  <si>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</si>
  <si>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</si>
  <si>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</si>
  <si>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</si>
  <si>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</si>
  <si>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</si>
  <si>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</si>
  <si>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</si>
  <si>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</si>
  <si>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</si>
  <si>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</si>
  <si>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</si>
  <si>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</si>
  <si>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</si>
  <si>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</si>
  <si>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</si>
  <si>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</si>
  <si>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</si>
  <si>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</si>
  <si>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</si>
  <si>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</si>
  <si>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</si>
  <si>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</si>
  <si>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</si>
  <si>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</si>
  <si>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</si>
  <si>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</si>
  <si>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</si>
  <si>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</si>
  <si>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</si>
  <si>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</si>
  <si>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</si>
  <si>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</si>
  <si>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</si>
  <si>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</si>
  <si>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</si>
  <si>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</si>
  <si>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</si>
  <si>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</si>
  <si>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</si>
  <si>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</si>
  <si>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</si>
  <si>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</si>
  <si>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</si>
  <si>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</si>
  <si>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</si>
  <si>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</si>
  <si>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</si>
  <si>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</si>
  <si>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</si>
  <si>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</si>
  <si>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</si>
  <si>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</si>
  <si>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</si>
  <si>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</si>
  <si>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</si>
  <si>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</si>
  <si>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</si>
  <si>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</si>
  <si>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</si>
  <si>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</si>
  <si>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</si>
  <si>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</si>
  <si>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</si>
  <si>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</si>
  <si>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</si>
  <si>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</si>
  <si>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</si>
  <si>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</si>
  <si>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</si>
  <si>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</si>
  <si>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</si>
  <si>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</si>
  <si>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</si>
  <si>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</si>
  <si>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</si>
  <si>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</si>
  <si>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</si>
  <si>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</si>
  <si>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</si>
  <si>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</si>
  <si>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</si>
  <si>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</si>
  <si>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</si>
  <si>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</si>
  <si>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</si>
  <si>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</si>
  <si>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</si>
  <si>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</si>
  <si>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</si>
  <si>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</si>
  <si>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</si>
  <si>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</si>
  <si>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</si>
  <si>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</si>
  <si>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</si>
  <si>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</si>
  <si>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</si>
  <si>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</si>
  <si>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</si>
  <si>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</si>
  <si>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</si>
  <si>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</si>
  <si>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</si>
  <si>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</si>
  <si>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</si>
  <si>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</si>
  <si>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</si>
  <si>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</si>
  <si>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</si>
  <si>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</si>
  <si>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</si>
  <si>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</si>
  <si>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</si>
  <si>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</si>
  <si>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</si>
  <si>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</si>
  <si>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</si>
  <si>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</si>
  <si>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</si>
  <si>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</si>
  <si>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</si>
  <si>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</si>
  <si>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</si>
  <si>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</si>
  <si>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</si>
  <si>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</si>
  <si>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</si>
  <si>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</si>
  <si>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</si>
  <si>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</si>
  <si>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</si>
  <si>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</si>
  <si>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</si>
  <si>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</si>
  <si>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</si>
  <si>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</si>
  <si>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</si>
  <si>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</si>
  <si>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</si>
  <si>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</si>
  <si>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</si>
  <si>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</si>
  <si>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</si>
  <si>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</si>
  <si>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</si>
  <si>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</si>
  <si>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</si>
  <si>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</si>
  <si>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</si>
  <si>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</si>
  <si>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</si>
  <si>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</si>
  <si>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</si>
  <si>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</si>
  <si>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</si>
  <si>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</si>
  <si>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</si>
  <si>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</si>
  <si>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</si>
  <si>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</si>
  <si>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</si>
  <si>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</si>
  <si>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</si>
  <si>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</si>
  <si>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</si>
  <si>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</si>
  <si>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</si>
  <si>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</si>
  <si>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</si>
  <si>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</si>
  <si>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</si>
  <si>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</si>
  <si>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</si>
  <si>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</si>
  <si>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</si>
  <si>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</si>
  <si>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</si>
  <si>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</si>
  <si>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</si>
  <si>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</si>
  <si>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</si>
  <si>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</si>
  <si>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</si>
  <si>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</si>
  <si>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</si>
  <si>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</si>
  <si>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</si>
  <si>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</si>
  <si>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</si>
  <si>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</si>
  <si>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</si>
  <si>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</si>
  <si>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</si>
  <si>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</si>
  <si>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</si>
  <si>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</si>
  <si>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</si>
  <si>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</si>
  <si>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</si>
  <si>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</si>
  <si>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</si>
  <si>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</si>
  <si>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</si>
  <si>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</si>
  <si>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</si>
  <si>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</si>
  <si>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</si>
  <si>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</si>
  <si>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</si>
  <si>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</si>
  <si>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</si>
  <si>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</si>
  <si>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</si>
  <si>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</si>
  <si>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</si>
  <si>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</si>
  <si>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</si>
  <si>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</si>
  <si>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</si>
  <si>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</si>
  <si>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</si>
  <si>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</si>
  <si>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</si>
  <si>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</si>
  <si>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</si>
  <si>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</si>
  <si>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</si>
  <si>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</si>
  <si>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</si>
  <si>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</si>
  <si>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</si>
  <si>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</si>
  <si>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</si>
  <si>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</si>
  <si>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</si>
  <si>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</si>
  <si>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</si>
  <si>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</si>
  <si>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</si>
  <si>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</si>
  <si>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</si>
  <si>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</si>
  <si>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</si>
  <si>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</si>
  <si>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</si>
  <si>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</si>
  <si>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</si>
  <si>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</si>
  <si>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</si>
  <si>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</si>
  <si>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</si>
  <si>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</si>
  <si>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</si>
  <si>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</si>
  <si>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</si>
  <si>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</si>
  <si>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</si>
  <si>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</si>
  <si>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</si>
  <si>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</si>
  <si>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</si>
  <si>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</si>
  <si>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</si>
  <si>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</si>
  <si>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</si>
  <si>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</si>
  <si>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</si>
  <si>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</si>
  <si>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</si>
  <si>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</si>
  <si>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</si>
  <si>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</si>
  <si>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</si>
  <si>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</si>
  <si>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</si>
  <si>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</si>
  <si>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</si>
  <si>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</si>
  <si>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</si>
  <si>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</si>
  <si>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</si>
  <si>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</si>
  <si>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</si>
  <si>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</si>
  <si>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</si>
  <si>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</si>
  <si>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</si>
  <si>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</si>
  <si>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</si>
  <si>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</si>
  <si>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</si>
  <si>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</si>
  <si>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</si>
  <si>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</si>
  <si>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</si>
  <si>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</si>
  <si>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</si>
  <si>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</si>
  <si>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</si>
  <si>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</si>
  <si>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</si>
  <si>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</si>
  <si>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</si>
  <si>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</si>
  <si>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</si>
  <si>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</si>
  <si>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</si>
  <si>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</si>
  <si>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</si>
  <si>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</si>
  <si>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</si>
  <si>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</si>
  <si>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</si>
  <si>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</si>
  <si>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</si>
  <si>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</si>
  <si>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</si>
  <si>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</si>
  <si>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</si>
  <si>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</si>
  <si>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</si>
  <si>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</si>
  <si>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</si>
  <si>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</si>
  <si>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</si>
  <si>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</si>
  <si>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</si>
  <si>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</si>
  <si>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</si>
  <si>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</si>
  <si>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</si>
  <si>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</si>
  <si>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</si>
  <si>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</si>
  <si>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</si>
  <si>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</si>
  <si>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</si>
  <si>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</si>
  <si>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</si>
  <si>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</si>
  <si>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</si>
  <si>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</si>
  <si>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</si>
  <si>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</si>
  <si>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</si>
  <si>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</si>
  <si>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</si>
  <si>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</si>
  <si>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</si>
  <si>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</si>
  <si>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</si>
  <si>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</si>
  <si>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</si>
  <si>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</si>
  <si>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</si>
  <si>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</si>
  <si>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</si>
  <si>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</si>
  <si>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</si>
  <si>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</si>
  <si>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</si>
  <si>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</si>
  <si>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</si>
  <si>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</si>
  <si>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</si>
  <si>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</si>
  <si>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</si>
  <si>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</si>
  <si>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</si>
  <si>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</si>
  <si>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</si>
  <si>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</si>
  <si>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</si>
  <si>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</si>
  <si>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</si>
  <si>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</si>
  <si>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</si>
  <si>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</si>
  <si>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</si>
  <si>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</si>
  <si>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</si>
  <si>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</si>
  <si>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</si>
  <si>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</si>
  <si>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</si>
  <si>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</si>
  <si>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</si>
  <si>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</si>
  <si>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</si>
  <si>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</si>
  <si>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</si>
  <si>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</si>
  <si>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</si>
  <si>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</si>
  <si>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</si>
  <si>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</si>
  <si>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</si>
  <si>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</si>
  <si>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</si>
  <si>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</si>
  <si>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</si>
  <si>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</si>
  <si>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</si>
  <si>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</si>
  <si>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</si>
  <si>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</si>
  <si>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</si>
  <si>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</si>
  <si>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</si>
  <si>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</si>
  <si>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</si>
  <si>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</si>
  <si>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</si>
  <si>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</si>
  <si>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</si>
  <si>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</si>
  <si>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</si>
  <si>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</si>
  <si>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</si>
  <si>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</si>
  <si>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</si>
  <si>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</si>
  <si>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</si>
  <si>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</si>
  <si>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</si>
  <si>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</si>
  <si>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</si>
  <si>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</si>
  <si>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</si>
  <si>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</si>
  <si>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</si>
  <si>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</si>
  <si>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</si>
  <si>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</si>
  <si>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</si>
  <si>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</si>
  <si>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</si>
  <si>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</si>
  <si>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</si>
  <si>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</si>
  <si>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</si>
  <si>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</si>
  <si>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</si>
  <si>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</si>
  <si>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</si>
  <si>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</si>
  <si>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</si>
  <si>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</si>
  <si>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</si>
  <si>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</si>
  <si>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</si>
  <si>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</si>
  <si>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</si>
  <si>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</si>
  <si>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</si>
  <si>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</si>
  <si>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</si>
  <si>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</si>
  <si>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</si>
  <si>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</si>
  <si>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</si>
  <si>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</si>
  <si>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</si>
  <si>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</si>
  <si>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</si>
  <si>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</si>
  <si>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</si>
  <si>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</si>
  <si>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</si>
  <si>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</si>
  <si>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</si>
  <si>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</si>
  <si>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</si>
  <si>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</si>
  <si>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</si>
  <si>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</si>
  <si>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</si>
  <si>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</si>
  <si>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</si>
  <si>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</si>
  <si>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</si>
  <si>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</si>
  <si>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</si>
  <si>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</si>
  <si>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</si>
  <si>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</si>
  <si>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</si>
  <si>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</si>
  <si>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</si>
  <si>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</si>
  <si>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</si>
  <si>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</si>
  <si>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</si>
  <si>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</si>
  <si>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</si>
  <si>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</si>
  <si>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</si>
  <si>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</si>
  <si>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</si>
  <si>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</si>
  <si>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</si>
  <si>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</si>
  <si>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</si>
  <si>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</si>
  <si>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</si>
  <si>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</si>
  <si>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</si>
  <si>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</si>
  <si>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</si>
  <si>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</si>
  <si>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</si>
  <si>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</si>
  <si>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</si>
  <si>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</si>
  <si>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</si>
  <si>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</si>
  <si>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</si>
  <si>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</si>
  <si>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</si>
  <si>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</si>
  <si>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</si>
  <si>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</si>
  <si>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</si>
  <si>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</si>
  <si>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</si>
  <si>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</si>
  <si>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</si>
  <si>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</si>
  <si>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</si>
  <si>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</si>
  <si>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</si>
  <si>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</si>
  <si>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</si>
  <si>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</si>
  <si>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</si>
  <si>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</si>
  <si>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</si>
  <si>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</si>
  <si>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</si>
  <si>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</si>
  <si>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</si>
  <si>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</si>
  <si>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</si>
  <si>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</si>
  <si>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</si>
  <si>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</si>
  <si>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</si>
  <si>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</si>
  <si>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</si>
  <si>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</si>
  <si>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</si>
  <si>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</si>
  <si>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</si>
  <si>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</si>
  <si>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</si>
  <si>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</si>
  <si>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</si>
  <si>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</si>
  <si>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</si>
  <si>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</si>
  <si>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</si>
  <si>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</si>
  <si>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</si>
  <si>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</si>
  <si>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</si>
  <si>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</si>
  <si>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</si>
  <si>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</si>
  <si>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</si>
  <si>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</si>
  <si>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</si>
  <si>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</si>
  <si>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</si>
  <si>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</si>
  <si>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</si>
  <si>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</si>
  <si>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</si>
  <si>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</si>
  <si>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</si>
  <si>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</si>
  <si>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</si>
  <si>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</si>
  <si>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</si>
  <si>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</si>
  <si>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</si>
  <si>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</si>
  <si>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</si>
  <si>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</si>
  <si>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</si>
  <si>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</si>
  <si>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</si>
  <si>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</si>
  <si>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</si>
  <si>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</si>
  <si>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</si>
  <si>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</si>
  <si>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</si>
  <si>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</si>
  <si>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</si>
  <si>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</si>
  <si>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</si>
  <si>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</si>
  <si>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</si>
  <si>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</si>
  <si>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</si>
  <si>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</si>
  <si>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</si>
  <si>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</si>
  <si>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</si>
  <si>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</si>
  <si>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</si>
  <si>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</si>
  <si>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</si>
  <si>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</si>
  <si>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</si>
  <si>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</si>
  <si>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</si>
  <si>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</si>
  <si>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</si>
  <si>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</si>
  <si>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</si>
  <si>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</si>
  <si>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</si>
  <si>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</si>
  <si>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</si>
  <si>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</si>
  <si>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</si>
  <si>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</si>
  <si>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</si>
  <si>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</si>
  <si>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</si>
  <si>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</si>
  <si>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</si>
  <si>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</si>
  <si>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</si>
  <si>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</si>
  <si>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</si>
  <si>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</si>
  <si>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</si>
  <si>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</si>
  <si>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</si>
  <si>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</si>
  <si>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</si>
  <si>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</si>
  <si>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</si>
  <si>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</si>
  <si>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</si>
  <si>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</si>
  <si>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</si>
  <si>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</si>
  <si>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</si>
  <si>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</si>
  <si>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</si>
  <si>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</si>
  <si>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</si>
  <si>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</si>
  <si>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</si>
  <si>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</si>
  <si>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</si>
  <si>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</si>
  <si>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</si>
  <si>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</si>
  <si>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</si>
  <si>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</si>
  <si>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</si>
  <si>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</si>
  <si>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</si>
  <si>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</si>
  <si>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</si>
  <si>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</si>
  <si>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</si>
  <si>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</si>
  <si>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</si>
  <si>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</si>
  <si>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</si>
  <si>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</si>
  <si>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</si>
  <si>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</si>
  <si>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</si>
  <si>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</si>
  <si>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</si>
  <si>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</si>
  <si>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</si>
  <si>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</si>
  <si>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</si>
  <si>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</si>
  <si>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</si>
  <si>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</si>
  <si>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</si>
  <si>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</si>
  <si>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</si>
  <si>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</si>
  <si>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</si>
  <si>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</si>
  <si>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</si>
  <si>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</si>
  <si>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</si>
  <si>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</si>
  <si>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</si>
  <si>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</si>
  <si>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</si>
  <si>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</si>
  <si>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</si>
  <si>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</si>
  <si>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</si>
  <si>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</si>
  <si>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</si>
  <si>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</si>
  <si>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</si>
  <si>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</si>
  <si>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</si>
  <si>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</si>
  <si>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</si>
  <si>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</si>
  <si>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</si>
  <si>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</si>
  <si>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</si>
  <si>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</si>
  <si>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</si>
  <si>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</si>
  <si>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</si>
  <si>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</si>
  <si>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</si>
  <si>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</si>
  <si>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</si>
  <si>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</si>
  <si>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</si>
  <si>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</si>
  <si>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</si>
  <si>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</si>
  <si>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</si>
  <si>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</si>
  <si>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</si>
  <si>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</si>
  <si>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</si>
  <si>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</si>
  <si>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</si>
  <si>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</si>
  <si>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</si>
  <si>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</si>
  <si>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</si>
  <si>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</si>
  <si>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</si>
  <si>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</si>
  <si>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</si>
  <si>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</si>
  <si>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</si>
  <si>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</si>
  <si>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</si>
  <si>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</si>
  <si>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</si>
  <si>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</si>
  <si>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</si>
  <si>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</si>
  <si>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</si>
  <si>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</si>
  <si>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</si>
  <si>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</si>
  <si>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</si>
  <si>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</si>
  <si>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</si>
  <si>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</si>
  <si>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</si>
  <si>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</si>
  <si>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</si>
  <si>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</si>
  <si>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</si>
  <si>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</si>
  <si>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</si>
  <si>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</si>
  <si>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</si>
  <si>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</si>
  <si>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</si>
  <si>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</si>
  <si>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</si>
  <si>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</si>
  <si>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</si>
  <si>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</si>
  <si>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</si>
  <si>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</si>
  <si>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</si>
  <si>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</si>
  <si>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</si>
  <si>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</si>
  <si>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</si>
  <si>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</si>
  <si>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</si>
  <si>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</si>
  <si>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</si>
  <si>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</si>
  <si>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</si>
  <si>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</si>
  <si>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</si>
  <si>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</si>
  <si>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</si>
  <si>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</si>
  <si>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</si>
  <si>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</si>
  <si>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</si>
  <si>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</si>
  <si>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</si>
  <si>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</si>
  <si>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</si>
  <si>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</si>
  <si>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</si>
  <si>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</si>
  <si>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</si>
  <si>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</si>
  <si>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</si>
  <si>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</si>
  <si>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</si>
  <si>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</si>
  <si>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</si>
  <si>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</si>
  <si>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</si>
  <si>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</si>
  <si>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</si>
  <si>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</si>
  <si>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</si>
  <si>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</si>
  <si>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</si>
  <si>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</si>
  <si>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</si>
  <si>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</si>
  <si>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</si>
  <si>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</si>
  <si>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</si>
  <si>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</si>
  <si>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</si>
  <si>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</si>
  <si>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</si>
  <si>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</si>
  <si>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</si>
  <si>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</si>
  <si>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</si>
  <si>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</si>
  <si>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</si>
  <si>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</si>
  <si>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</si>
  <si>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</si>
  <si>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</si>
  <si>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</si>
  <si>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</si>
  <si>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</si>
  <si>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</si>
  <si>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</si>
  <si>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</si>
  <si>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</si>
  <si>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</si>
  <si>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</si>
  <si>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</si>
  <si>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</si>
  <si>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</si>
  <si>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</si>
  <si>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</si>
  <si>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</si>
  <si>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</si>
  <si>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</si>
  <si>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</si>
  <si>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</si>
  <si>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</si>
  <si>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</si>
  <si>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</si>
  <si>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</si>
  <si>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</si>
  <si>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</si>
  <si>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</si>
  <si>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</si>
  <si>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</si>
  <si>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</si>
  <si>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</si>
  <si>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</si>
  <si>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</si>
  <si>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</si>
  <si>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</si>
  <si>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</si>
  <si>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</si>
  <si>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</si>
  <si>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</si>
  <si>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</si>
  <si>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</si>
  <si>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</si>
  <si>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</si>
  <si>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</si>
  <si>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</si>
  <si>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</si>
  <si>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</si>
  <si>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</si>
  <si>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</si>
  <si>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</si>
  <si>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</si>
  <si>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</si>
  <si>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</si>
  <si>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</si>
  <si>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</si>
  <si>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</si>
  <si>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</si>
  <si>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</si>
  <si>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</si>
  <si>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</si>
  <si>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</si>
  <si>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</si>
  <si>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</si>
  <si>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</si>
  <si>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</si>
  <si>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</si>
  <si>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</si>
  <si>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</si>
  <si>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</si>
  <si>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</si>
  <si>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</si>
  <si>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</si>
  <si>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</si>
  <si>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</si>
  <si>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</si>
  <si>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</si>
  <si>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</si>
  <si>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</si>
  <si>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</si>
  <si>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</si>
  <si>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</si>
  <si>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</si>
  <si>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</si>
  <si>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</si>
  <si>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</si>
  <si>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</si>
  <si>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</si>
  <si>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</si>
  <si>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</si>
  <si>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</si>
  <si>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</si>
  <si>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</si>
  <si>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</si>
  <si>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</si>
  <si>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</si>
  <si>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</si>
  <si>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</si>
  <si>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</si>
  <si>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</si>
  <si>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</si>
  <si>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</si>
  <si>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</si>
  <si>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</si>
  <si>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</si>
  <si>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</si>
  <si>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</si>
  <si>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</si>
  <si>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</si>
  <si>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</si>
  <si>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</si>
  <si>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</si>
  <si>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</si>
  <si>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</si>
  <si>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</si>
  <si>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</si>
  <si>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</si>
  <si>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</si>
  <si>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</si>
  <si>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</si>
  <si>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</si>
  <si>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</si>
  <si>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</si>
  <si>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</si>
  <si>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</si>
  <si>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</si>
  <si>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</si>
  <si>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</si>
  <si>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</si>
  <si>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</si>
  <si>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</si>
  <si>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</si>
  <si>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</si>
  <si>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</si>
  <si>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</si>
  <si>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</si>
  <si>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</si>
  <si>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</si>
  <si>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</si>
  <si>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</si>
  <si>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</si>
  <si>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</si>
  <si>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</si>
  <si>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</si>
  <si>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</si>
  <si>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</si>
  <si>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</si>
  <si>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</si>
  <si>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</si>
  <si>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</si>
  <si>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</si>
  <si>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</si>
  <si>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</si>
  <si>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</si>
  <si>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</si>
  <si>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</si>
  <si>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</si>
  <si>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</si>
  <si>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</si>
  <si>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</si>
  <si>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</si>
  <si>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</si>
  <si>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</si>
  <si>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</si>
  <si>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</si>
  <si>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</si>
  <si>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</si>
  <si>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</si>
  <si>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</si>
  <si>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</si>
  <si>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</si>
  <si>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</si>
  <si>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</si>
  <si>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</si>
  <si>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</si>
  <si>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</si>
  <si>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</si>
  <si>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</si>
  <si>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</si>
  <si>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</si>
  <si>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</si>
  <si>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</si>
  <si>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</si>
  <si>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</si>
  <si>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</si>
  <si>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</si>
  <si>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</si>
  <si>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</si>
  <si>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</si>
  <si>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</si>
  <si>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</si>
  <si>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</si>
  <si>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</si>
  <si>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</si>
  <si>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</si>
  <si>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</si>
  <si>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</si>
  <si>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</si>
  <si>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</si>
  <si>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</si>
  <si>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</si>
  <si>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</si>
  <si>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</si>
  <si>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</si>
  <si>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</si>
  <si>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</si>
  <si>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</si>
  <si>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</si>
  <si>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</si>
  <si>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</si>
  <si>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</si>
  <si>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</si>
  <si>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</si>
  <si>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</si>
  <si>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</si>
  <si>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</si>
  <si>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</si>
  <si>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</si>
  <si>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</si>
  <si>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</si>
  <si>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</si>
  <si>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</si>
  <si>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</si>
  <si>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</si>
  <si>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</si>
  <si>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</si>
  <si>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</si>
  <si>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</si>
  <si>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</si>
  <si>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</si>
  <si>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</si>
  <si>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</si>
  <si>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</si>
  <si>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</si>
  <si>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</si>
  <si>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</si>
  <si>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</si>
  <si>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</si>
  <si>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</si>
  <si>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</si>
  <si>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</si>
  <si>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</si>
  <si>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</si>
  <si>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</si>
  <si>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</si>
  <si>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</si>
  <si>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</si>
  <si>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</si>
  <si>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</si>
  <si>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</si>
  <si>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</si>
  <si>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</si>
  <si>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</si>
  <si>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</si>
  <si>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</si>
  <si>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</si>
  <si>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</si>
  <si>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</si>
  <si>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</si>
  <si>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</si>
  <si>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</si>
  <si>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</si>
  <si>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</si>
  <si>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</si>
  <si>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</si>
  <si>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</si>
  <si>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</si>
  <si>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</si>
  <si>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</si>
  <si>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</si>
  <si>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</si>
  <si>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</si>
  <si>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</si>
  <si>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</si>
  <si>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</si>
  <si>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</si>
  <si>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</si>
  <si>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</si>
  <si>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</si>
  <si>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</si>
  <si>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</si>
  <si>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</si>
  <si>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</si>
  <si>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</si>
  <si>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</si>
  <si>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</si>
  <si>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</si>
  <si>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</si>
  <si>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</si>
  <si>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</si>
  <si>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</si>
  <si>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</si>
  <si>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</si>
  <si>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</si>
  <si>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</si>
  <si>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</si>
  <si>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</si>
  <si>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</si>
  <si>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</si>
  <si>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</si>
  <si>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</si>
  <si>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</si>
  <si>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</si>
  <si>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</si>
  <si>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</si>
  <si>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</si>
  <si>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</si>
  <si>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</si>
  <si>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</si>
  <si>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</si>
  <si>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</si>
  <si>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</si>
  <si>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</si>
  <si>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</si>
  <si>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</si>
  <si>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</si>
  <si>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</si>
  <si>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</si>
  <si>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</si>
  <si>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</si>
  <si>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</si>
  <si>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</si>
  <si>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</si>
  <si>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</si>
  <si>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</si>
  <si>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</si>
  <si>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</si>
  <si>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</si>
  <si>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</si>
  <si>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</si>
  <si>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</si>
  <si>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</si>
  <si>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</si>
  <si>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</si>
  <si>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</si>
  <si>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</si>
  <si>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</si>
  <si>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</si>
  <si>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</si>
  <si>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</si>
  <si>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</si>
  <si>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</si>
  <si>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</si>
  <si>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</si>
  <si>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</si>
  <si>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</si>
  <si>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</si>
  <si>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</si>
  <si>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</si>
  <si>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</si>
  <si>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</si>
  <si>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</si>
  <si>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</si>
  <si>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</si>
  <si>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</si>
  <si>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</si>
  <si>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</si>
  <si>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</si>
  <si>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</si>
  <si>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</si>
  <si>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</si>
  <si>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</si>
  <si>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</si>
  <si>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</si>
  <si>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</si>
  <si>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</si>
  <si>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</si>
  <si>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</si>
  <si>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</si>
  <si>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</si>
  <si>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</si>
  <si>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</si>
  <si>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</si>
  <si>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</si>
  <si>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</si>
  <si>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</si>
  <si>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</si>
  <si>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</si>
  <si>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</si>
  <si>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</si>
  <si>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</si>
  <si>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</si>
  <si>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</si>
  <si>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</si>
  <si>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</si>
  <si>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</si>
  <si>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</si>
  <si>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</si>
  <si>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</si>
  <si>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</si>
  <si>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</si>
  <si>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</si>
  <si>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</si>
  <si>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</si>
  <si>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</si>
  <si>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</si>
  <si>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</si>
  <si>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</si>
  <si>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</si>
  <si>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</si>
  <si>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</si>
  <si>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</si>
  <si>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</si>
  <si>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</si>
  <si>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</si>
  <si>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</si>
  <si>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</si>
  <si>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</si>
  <si>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</si>
  <si>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</si>
  <si>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</si>
  <si>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</si>
  <si>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</si>
  <si>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</si>
  <si>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</si>
  <si>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</si>
  <si>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</si>
  <si>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</si>
  <si>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</si>
  <si>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</si>
  <si>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</si>
  <si>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</si>
  <si>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</si>
  <si>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</si>
  <si>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</si>
  <si>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</si>
  <si>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</si>
  <si>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</si>
  <si>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</si>
  <si>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</si>
  <si>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</si>
  <si>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</si>
  <si>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</si>
  <si>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</si>
  <si>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</si>
  <si>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</si>
  <si>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</si>
  <si>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</si>
  <si>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</si>
  <si>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</si>
  <si>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</si>
  <si>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</si>
  <si>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</si>
  <si>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</si>
  <si>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</si>
  <si>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</si>
  <si>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</si>
  <si>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</si>
  <si>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</si>
  <si>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</si>
  <si>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</si>
  <si>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</si>
  <si>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</si>
  <si>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</si>
  <si>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</si>
  <si>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</si>
  <si>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</si>
  <si>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</si>
  <si>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</si>
  <si>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</si>
  <si>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</si>
  <si>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</si>
  <si>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</si>
  <si>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</si>
  <si>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</si>
  <si>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</si>
  <si>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</si>
  <si>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</si>
  <si>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</si>
  <si>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</si>
  <si>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</si>
  <si>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</si>
  <si>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</si>
  <si>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</si>
  <si>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</si>
  <si>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</si>
  <si>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</si>
  <si>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</si>
  <si>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</si>
  <si>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</si>
  <si>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</si>
  <si>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</si>
  <si>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</si>
  <si>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</si>
  <si>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</si>
  <si>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</si>
  <si>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</si>
  <si>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</si>
  <si>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</si>
  <si>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</si>
  <si>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</si>
  <si>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</si>
  <si>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</si>
  <si>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</si>
  <si>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</si>
  <si>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</si>
  <si>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</si>
  <si>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</si>
  <si>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</si>
  <si>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</si>
  <si>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</si>
  <si>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</si>
  <si>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</si>
  <si>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</si>
  <si>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</si>
  <si>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</si>
  <si>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</si>
  <si>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</si>
  <si>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</si>
  <si>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</si>
  <si>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</si>
  <si>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</si>
  <si>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</si>
  <si>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</si>
  <si>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</si>
  <si>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</si>
  <si>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</si>
  <si>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</si>
  <si>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</si>
  <si>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</si>
  <si>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</si>
  <si>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</si>
  <si>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</si>
  <si>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</si>
  <si>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</si>
  <si>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</si>
  <si>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</si>
  <si>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</si>
  <si>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</si>
  <si>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</si>
  <si>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</si>
  <si>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</si>
  <si>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</si>
  <si>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</si>
  <si>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</si>
  <si>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</si>
  <si>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</si>
  <si>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</si>
  <si>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</si>
  <si>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</si>
  <si>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</si>
  <si>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</si>
  <si>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</si>
  <si>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</si>
  <si>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</si>
  <si>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</si>
  <si>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</si>
  <si>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</si>
  <si>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</si>
  <si>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</si>
  <si>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</si>
  <si>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</si>
  <si>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</si>
  <si>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</si>
  <si>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</si>
  <si>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</si>
  <si>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</si>
  <si>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</si>
  <si>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</si>
  <si>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</si>
  <si>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</si>
  <si>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</si>
  <si>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</si>
  <si>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</si>
  <si>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</si>
  <si>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</si>
  <si>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</si>
  <si>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</si>
  <si>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</si>
  <si>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</si>
  <si>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</si>
  <si>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</si>
  <si>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</si>
  <si>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</si>
  <si>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</si>
  <si>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</si>
  <si>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</si>
  <si>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</si>
  <si>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</si>
  <si>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</si>
  <si>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</si>
  <si>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</si>
  <si>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</si>
  <si>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</si>
  <si>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</si>
  <si>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</si>
  <si>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</si>
  <si>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</si>
  <si>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</si>
  <si>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</si>
  <si>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</si>
  <si>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</si>
  <si>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</si>
  <si>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</si>
  <si>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</si>
  <si>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</si>
  <si>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</si>
  <si>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</si>
  <si>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</si>
  <si>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</si>
  <si>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</si>
  <si>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</si>
  <si>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</si>
  <si>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</si>
  <si>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</si>
  <si>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</si>
  <si>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</si>
  <si>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</si>
  <si>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</si>
  <si>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</si>
  <si>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</si>
  <si>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</si>
  <si>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</si>
  <si>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</si>
  <si>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</si>
  <si>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</si>
  <si>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</si>
  <si>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</si>
  <si>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</si>
  <si>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</si>
  <si>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</si>
  <si>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</si>
  <si>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</si>
  <si>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</si>
  <si>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</si>
  <si>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</si>
  <si>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</si>
  <si>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</si>
  <si>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</si>
  <si>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</si>
  <si>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</si>
  <si>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</si>
  <si>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</si>
  <si>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</si>
  <si>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</si>
  <si>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</si>
  <si>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</si>
  <si>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</si>
  <si>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</si>
  <si>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</si>
  <si>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</si>
  <si>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</si>
  <si>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</si>
  <si>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</si>
  <si>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</si>
  <si>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</si>
  <si>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</si>
  <si>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</si>
  <si>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</si>
  <si>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</si>
  <si>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</si>
  <si>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</si>
  <si>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</si>
  <si>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</si>
  <si>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</si>
  <si>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</si>
  <si>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</si>
  <si>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</si>
  <si>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</si>
  <si>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</si>
  <si>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</si>
  <si>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</si>
  <si>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</si>
  <si>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</si>
  <si>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</si>
  <si>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</si>
  <si>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</si>
  <si>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</si>
  <si>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</si>
  <si>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</si>
  <si>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</si>
  <si>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</si>
  <si>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</si>
  <si>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</si>
  <si>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</si>
  <si>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</si>
  <si>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</si>
  <si>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</si>
  <si>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</si>
  <si>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</si>
  <si>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</si>
  <si>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</si>
  <si>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</si>
  <si>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</si>
  <si>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</si>
  <si>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</si>
  <si>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</si>
  <si>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</si>
  <si>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</si>
  <si>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</si>
  <si>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</si>
  <si>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</si>
  <si>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</si>
  <si>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</si>
  <si>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</si>
  <si>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</si>
  <si>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</si>
  <si>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</si>
  <si>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</si>
  <si>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</si>
  <si>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</si>
  <si>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</si>
  <si>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</si>
  <si>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</si>
  <si>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</si>
  <si>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</si>
  <si>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</si>
  <si>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</si>
  <si>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</si>
  <si>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</si>
  <si>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</si>
  <si>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</si>
  <si>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</si>
  <si>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</si>
  <si>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</si>
  <si>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</si>
  <si>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</si>
  <si>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</si>
  <si>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</si>
  <si>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</si>
  <si>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</si>
  <si>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</si>
  <si>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</si>
  <si>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</si>
  <si>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</si>
  <si>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</si>
  <si>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</si>
  <si>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</si>
  <si>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</si>
  <si>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</si>
  <si>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</si>
  <si>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</si>
  <si>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</si>
  <si>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</si>
  <si>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</si>
  <si>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</si>
  <si>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</si>
  <si>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</si>
  <si>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</si>
  <si>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</si>
  <si>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</si>
  <si>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</si>
  <si>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</si>
  <si>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</si>
  <si>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</si>
  <si>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</si>
  <si>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</si>
  <si>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</si>
  <si>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</si>
  <si>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</si>
  <si>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</si>
  <si>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</si>
  <si>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</si>
  <si>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</si>
  <si>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</si>
  <si>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</si>
  <si>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</si>
  <si>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</si>
  <si>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</si>
  <si>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</si>
  <si>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</si>
  <si>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</si>
  <si>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</si>
  <si>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</si>
  <si>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</si>
  <si>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</si>
  <si>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</si>
  <si>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</si>
  <si>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</si>
  <si>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</si>
  <si>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</si>
  <si>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</si>
  <si>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</si>
  <si>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</si>
  <si>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</si>
  <si>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</si>
  <si>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</si>
  <si>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</si>
  <si>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</si>
  <si>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</si>
  <si>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</si>
  <si>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</si>
  <si>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</si>
  <si>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</si>
  <si>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</si>
  <si>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</si>
  <si>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</si>
  <si>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</si>
  <si>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</si>
  <si>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</si>
  <si>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</si>
  <si>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</si>
  <si>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</si>
  <si>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</si>
  <si>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</si>
  <si>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</si>
  <si>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</si>
  <si>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</si>
  <si>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</si>
  <si>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</si>
  <si>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</si>
  <si>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</si>
  <si>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</si>
  <si>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</si>
  <si>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</si>
  <si>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</si>
  <si>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</si>
  <si>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</si>
  <si>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</si>
  <si>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</si>
  <si>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</si>
  <si>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</si>
  <si>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</si>
  <si>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</si>
  <si>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</si>
  <si>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</si>
  <si>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</si>
  <si>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</si>
  <si>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</si>
  <si>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</si>
  <si>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</si>
  <si>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</si>
  <si>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</si>
  <si>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</si>
  <si>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</si>
  <si>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</si>
  <si>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</si>
  <si>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</si>
  <si>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</si>
  <si>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</si>
  <si>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</si>
  <si>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</si>
  <si>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</si>
  <si>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</si>
  <si>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</si>
  <si>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</si>
  <si>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</si>
  <si>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</si>
  <si>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</si>
  <si>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</si>
  <si>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</si>
  <si>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</si>
  <si>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</si>
  <si>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</si>
  <si>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</si>
  <si>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</si>
  <si>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</si>
  <si>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</si>
  <si>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</si>
  <si>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</si>
  <si>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</si>
  <si>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</si>
  <si>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</si>
  <si>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</si>
  <si>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</si>
  <si>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</si>
  <si>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</si>
  <si>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</si>
  <si>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</si>
  <si>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</si>
  <si>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</si>
  <si>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</si>
  <si>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</si>
  <si>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</si>
  <si>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</si>
  <si>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</si>
  <si>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</si>
  <si>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</si>
  <si>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</si>
  <si>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</si>
  <si>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</si>
  <si>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</si>
  <si>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</si>
  <si>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</si>
  <si>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</si>
  <si>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</si>
  <si>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</si>
  <si>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</si>
  <si>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</si>
  <si>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</si>
  <si>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</si>
  <si>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</si>
  <si>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</si>
  <si>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</si>
  <si>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</si>
  <si>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</si>
  <si>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</si>
  <si>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</si>
  <si>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</si>
  <si>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</si>
  <si>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</si>
  <si>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</si>
  <si>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</si>
  <si>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</si>
  <si>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</si>
  <si>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</si>
  <si>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</si>
  <si>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</si>
  <si>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</si>
  <si>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</si>
  <si>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</si>
  <si>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</si>
  <si>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</si>
  <si>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</si>
  <si>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</si>
  <si>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</si>
  <si>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</si>
  <si>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</si>
  <si>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</si>
  <si>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</si>
  <si>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</si>
  <si>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</si>
  <si>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</si>
  <si>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</si>
  <si>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</si>
  <si>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</si>
  <si>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</si>
  <si>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</si>
  <si>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</si>
  <si>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</si>
  <si>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</si>
  <si>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</si>
  <si>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</si>
  <si>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</si>
  <si>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</si>
  <si>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</si>
  <si>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</si>
  <si>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</si>
  <si>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</si>
  <si>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</si>
  <si>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</si>
  <si>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</si>
  <si>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</si>
  <si>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</si>
  <si>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</si>
  <si>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</si>
  <si>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</si>
  <si>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</si>
  <si>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</si>
  <si>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</si>
  <si>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</si>
  <si>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</si>
  <si>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</si>
  <si>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</si>
  <si>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</si>
  <si>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</si>
  <si>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</si>
  <si>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</si>
  <si>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</si>
  <si>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</si>
  <si>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</si>
  <si>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</si>
  <si>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</si>
  <si>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</si>
  <si>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</si>
  <si>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</si>
  <si>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</si>
  <si>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</si>
  <si>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</si>
  <si>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</si>
  <si>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</si>
  <si>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</si>
  <si>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</si>
  <si>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</si>
  <si>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</si>
  <si>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</si>
  <si>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</si>
  <si>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</si>
  <si>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</si>
  <si>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</si>
  <si>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</si>
  <si>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</si>
  <si>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</si>
  <si>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</si>
  <si>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</si>
  <si>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</si>
  <si>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</si>
  <si>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</si>
  <si>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</si>
  <si>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</si>
  <si>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</si>
  <si>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</si>
  <si>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</si>
  <si>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</si>
  <si>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</si>
  <si>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</si>
  <si>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</si>
  <si>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</si>
  <si>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</si>
  <si>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</si>
  <si>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</si>
  <si>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</si>
  <si>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</si>
  <si>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</si>
  <si>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</si>
  <si>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</si>
  <si>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</si>
  <si>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</si>
  <si>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</si>
  <si>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</si>
  <si>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</si>
  <si>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</si>
  <si>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</si>
  <si>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</si>
  <si>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</si>
  <si>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</si>
  <si>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</si>
  <si>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</si>
  <si>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</si>
  <si>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</si>
  <si>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</si>
  <si>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</si>
  <si>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</si>
  <si>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</si>
  <si>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</si>
  <si>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</si>
  <si>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</si>
  <si>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</si>
  <si>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</si>
  <si>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</si>
  <si>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</si>
  <si>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</si>
  <si>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</si>
  <si>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</si>
  <si>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</si>
  <si>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</si>
  <si>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</si>
  <si>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</si>
  <si>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</si>
  <si>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</si>
  <si>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</si>
  <si>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</si>
  <si>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</si>
  <si>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</si>
  <si>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</si>
  <si>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</si>
  <si>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</si>
  <si>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</si>
  <si>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</si>
  <si>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</si>
  <si>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</si>
  <si>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</si>
  <si>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</si>
  <si>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</si>
  <si>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</si>
  <si>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</si>
  <si>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</si>
  <si>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</si>
  <si>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</si>
  <si>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</si>
  <si>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</si>
  <si>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</si>
  <si>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</si>
  <si>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</si>
  <si>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</si>
  <si>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</si>
  <si>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</si>
  <si>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</si>
  <si>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</si>
  <si>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</si>
  <si>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</si>
  <si>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</si>
  <si>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</si>
  <si>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</si>
  <si>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</si>
  <si>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</si>
  <si>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</si>
  <si>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</si>
  <si>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</si>
  <si>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</si>
  <si>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</si>
  <si>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</si>
  <si>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</si>
  <si>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</si>
  <si>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</si>
  <si>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</si>
  <si>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</si>
  <si>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</si>
  <si>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</si>
  <si>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</si>
  <si>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</si>
  <si>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</si>
  <si>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</si>
  <si>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</si>
  <si>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</si>
  <si>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</si>
  <si>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</si>
  <si>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</si>
  <si>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</si>
  <si>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</si>
  <si>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</si>
  <si>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</si>
  <si>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</si>
  <si>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</si>
  <si>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</si>
  <si>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</si>
  <si>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</si>
  <si>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</si>
  <si>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</si>
  <si>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</si>
  <si>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</si>
  <si>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</si>
  <si>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</si>
  <si>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</si>
  <si>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</si>
  <si>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</si>
  <si>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</si>
  <si>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</si>
  <si>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</si>
  <si>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</si>
  <si>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</si>
  <si>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</si>
  <si>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</si>
  <si>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</si>
  <si>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</si>
  <si>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</si>
  <si>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</si>
  <si>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</si>
  <si>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</si>
  <si>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</si>
  <si>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</si>
  <si>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</si>
  <si>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</si>
  <si>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</si>
  <si>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</si>
  <si>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</si>
  <si>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</si>
  <si>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</si>
  <si>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</si>
  <si>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</si>
  <si>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</si>
  <si>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</si>
  <si>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</si>
  <si>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</si>
  <si>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</si>
  <si>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</si>
  <si>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</si>
  <si>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</si>
  <si>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</si>
  <si>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</si>
  <si>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</si>
  <si>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</si>
  <si>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</si>
  <si>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</si>
  <si>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</si>
  <si>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</si>
  <si>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</si>
  <si>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</si>
  <si>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</si>
  <si>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</si>
  <si>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</si>
  <si>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</si>
  <si>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</si>
  <si>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</si>
  <si>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</si>
  <si>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</si>
  <si>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</si>
  <si>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</si>
  <si>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</si>
  <si>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</si>
  <si>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</si>
  <si>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</si>
  <si>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</si>
  <si>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</si>
  <si>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</si>
  <si>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</si>
  <si>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</si>
  <si>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</si>
  <si>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</si>
  <si>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</si>
  <si>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</si>
  <si>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</si>
  <si>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</si>
  <si>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</si>
  <si>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</si>
  <si>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</si>
  <si>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</si>
  <si>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</si>
  <si>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</si>
  <si>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</si>
  <si>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</si>
  <si>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</si>
  <si>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</si>
  <si>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</si>
  <si>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</si>
  <si>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</si>
  <si>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</si>
  <si>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</si>
  <si>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</si>
  <si>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</si>
  <si>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</si>
  <si>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</si>
  <si>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</si>
  <si>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</si>
  <si>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</si>
  <si>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</si>
  <si>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</si>
  <si>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</si>
  <si>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</si>
  <si>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</si>
  <si>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</si>
  <si>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</si>
  <si>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</si>
  <si>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</si>
  <si>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</si>
  <si>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</si>
  <si>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</si>
  <si>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</si>
  <si>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</si>
  <si>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</si>
  <si>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</si>
  <si>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</si>
  <si>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</si>
  <si>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</si>
  <si>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</si>
  <si>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</si>
  <si>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</si>
  <si>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</si>
  <si>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</si>
  <si>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</si>
  <si>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</si>
  <si>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</si>
  <si>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</si>
  <si>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</si>
  <si>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</si>
  <si>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</si>
  <si>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</si>
  <si>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</si>
  <si>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</si>
  <si>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</si>
  <si>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</si>
  <si>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</si>
  <si>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</si>
  <si>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</si>
  <si>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</si>
  <si>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</si>
  <si>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</si>
  <si>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</si>
  <si>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</si>
  <si>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</si>
  <si>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</si>
  <si>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</si>
  <si>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</si>
  <si>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</si>
  <si>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</si>
  <si>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</si>
  <si>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</si>
  <si>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</si>
  <si>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</si>
  <si>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</si>
  <si>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</si>
  <si>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</si>
  <si>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</si>
  <si>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</si>
  <si>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</si>
  <si>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</si>
  <si>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</si>
  <si>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</si>
  <si>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</si>
  <si>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</si>
  <si>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</si>
  <si>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</si>
  <si>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</si>
  <si>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</si>
  <si>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</si>
  <si>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</si>
  <si>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</si>
  <si>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</si>
  <si>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</si>
  <si>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</si>
  <si>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</si>
  <si>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</si>
  <si>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</si>
  <si>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</si>
  <si>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</si>
  <si>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</si>
  <si>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</si>
  <si>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</si>
  <si>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</si>
  <si>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</si>
  <si>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</si>
  <si>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</si>
  <si>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</si>
  <si>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</si>
  <si>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</si>
  <si>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</si>
  <si>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</si>
  <si>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</si>
  <si>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</si>
  <si>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</si>
  <si>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</si>
  <si>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</si>
  <si>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</si>
  <si>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</si>
  <si>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</si>
  <si>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</si>
  <si>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</si>
  <si>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</si>
  <si>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</si>
  <si>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</si>
  <si>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</si>
  <si>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</si>
  <si>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</si>
  <si>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</si>
  <si>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</si>
  <si>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</si>
  <si>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</si>
  <si>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</si>
  <si>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</si>
  <si>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</si>
  <si>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</si>
  <si>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</si>
  <si>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</si>
  <si>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</si>
  <si>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</si>
  <si>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</si>
  <si>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</si>
  <si>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</si>
  <si>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</si>
  <si>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</si>
  <si>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</si>
  <si>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</si>
  <si>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</si>
  <si>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</si>
  <si>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</si>
  <si>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</si>
  <si>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</si>
  <si>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</si>
  <si>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</si>
  <si>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</si>
  <si>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</si>
  <si>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</si>
  <si>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</si>
  <si>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</si>
  <si>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</si>
  <si>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</si>
  <si>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</si>
  <si>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</si>
  <si>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</si>
  <si>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</si>
  <si>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</si>
  <si>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</si>
  <si>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</si>
  <si>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</si>
  <si>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</si>
  <si>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</si>
  <si>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</si>
  <si>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</si>
  <si>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</si>
  <si>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</si>
  <si>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</si>
  <si>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</si>
  <si>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</si>
  <si>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</si>
  <si>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</si>
  <si>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</si>
  <si>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</si>
  <si>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</si>
  <si>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</si>
  <si>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</si>
  <si>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</si>
  <si>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</si>
  <si>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</si>
  <si>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</si>
  <si>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</si>
  <si>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</si>
  <si>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</si>
  <si>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</si>
  <si>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</si>
  <si>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</si>
  <si>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</si>
  <si>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</si>
  <si>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</si>
  <si>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</si>
  <si>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</si>
  <si>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</si>
  <si>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</si>
  <si>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</si>
  <si>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</si>
  <si>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</si>
  <si>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</si>
  <si>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</si>
  <si>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</si>
  <si>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</si>
  <si>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</si>
  <si>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</si>
  <si>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</si>
  <si>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</si>
  <si>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</si>
  <si>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</si>
  <si>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</si>
  <si>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</si>
  <si>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</si>
  <si>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</si>
  <si>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</si>
  <si>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</si>
  <si>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</si>
  <si>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</si>
  <si>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</si>
  <si>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</si>
  <si>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</si>
  <si>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</si>
  <si>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</si>
  <si>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</si>
  <si>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</si>
  <si>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</si>
  <si>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</si>
  <si>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</si>
  <si>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</si>
  <si>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</si>
  <si>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</si>
  <si>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</si>
  <si>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</si>
  <si>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</si>
  <si>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</si>
  <si>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</si>
  <si>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</si>
  <si>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</si>
  <si>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</si>
  <si>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</si>
  <si>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</si>
  <si>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</si>
  <si>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</si>
  <si>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</si>
  <si>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</si>
  <si>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</si>
  <si>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</si>
  <si>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</si>
  <si>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</si>
  <si>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</si>
  <si>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</si>
  <si>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</si>
  <si>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</si>
  <si>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</si>
  <si>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</si>
  <si>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</si>
  <si>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</si>
  <si>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</si>
  <si>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</si>
  <si>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</si>
  <si>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</si>
  <si>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</si>
  <si>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</si>
  <si>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</si>
  <si>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</si>
  <si>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</si>
  <si>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</si>
  <si>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</si>
  <si>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</si>
  <si>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</si>
  <si>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</si>
  <si>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</si>
  <si>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</si>
  <si>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</si>
  <si>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</si>
  <si>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</si>
  <si>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</si>
  <si>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</si>
  <si>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</si>
  <si>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</si>
  <si>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</si>
  <si>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</si>
  <si>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</si>
  <si>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</si>
  <si>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</si>
  <si>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</si>
  <si>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</si>
  <si>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</si>
  <si>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</si>
  <si>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</si>
  <si>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</si>
  <si>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</si>
  <si>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</si>
  <si>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</si>
  <si>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</si>
  <si>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</si>
  <si>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</si>
  <si>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</si>
  <si>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</si>
  <si>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</si>
  <si>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</si>
  <si>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</si>
  <si>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</si>
  <si>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</si>
  <si>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</si>
  <si>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</si>
  <si>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</si>
  <si>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</si>
  <si>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</si>
  <si>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</si>
  <si>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</si>
  <si>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</si>
  <si>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</si>
  <si>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</si>
  <si>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</si>
  <si>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</si>
  <si>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</si>
  <si>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</si>
  <si>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</si>
  <si>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</si>
  <si>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</si>
  <si>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</si>
  <si>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</si>
  <si>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</si>
  <si>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</si>
  <si>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</si>
  <si>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</si>
  <si>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</si>
  <si>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</si>
  <si>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</si>
  <si>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</si>
  <si>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</si>
  <si>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</si>
  <si>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</si>
  <si>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</si>
  <si>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</si>
  <si>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</si>
  <si>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</si>
  <si>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</si>
  <si>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</si>
  <si>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</si>
  <si>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</si>
  <si>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</si>
  <si>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</si>
  <si>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</si>
  <si>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</si>
  <si>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</si>
  <si>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</si>
  <si>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</si>
  <si>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</si>
  <si>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</si>
  <si>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</si>
  <si>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</si>
  <si>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</si>
  <si>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</si>
  <si>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</si>
  <si>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抵押</t>
  </si>
  <si>
    <t>房地产抵押价值</t>
  </si>
  <si>
    <t>北京市</t>
  </si>
  <si>
    <t>楼面单价</t>
  </si>
  <si>
    <t>无</t>
  </si>
  <si>
    <t>否</t>
  </si>
  <si>
    <t>现房</t>
  </si>
  <si>
    <t>通路</t>
  </si>
  <si>
    <t>通电</t>
  </si>
  <si>
    <t>通讯</t>
  </si>
  <si>
    <t>通上水</t>
  </si>
  <si>
    <t>通下水</t>
  </si>
  <si>
    <t>通热</t>
  </si>
  <si>
    <t>燃气</t>
  </si>
  <si>
    <t>是</t>
  </si>
  <si>
    <t>地上</t>
  </si>
  <si>
    <t>底商</t>
  </si>
  <si>
    <t>成新度</t>
  </si>
  <si>
    <t>钢混</t>
  </si>
  <si>
    <t>非生产用房</t>
  </si>
  <si>
    <t>收益法 (元)</t>
  </si>
  <si>
    <t>利息：取LPR加浮动点数</t>
  </si>
  <si>
    <t>收益比率</t>
  </si>
  <si>
    <t>单套模式</t>
  </si>
  <si>
    <t>售价</t>
  </si>
  <si>
    <t>挂牌</t>
  </si>
  <si>
    <t>挂牌</t>
    <phoneticPr fontId="30" type="noConversion"/>
  </si>
  <si>
    <t>正常</t>
  </si>
  <si>
    <t>商业</t>
    <phoneticPr fontId="30" type="noConversion"/>
  </si>
  <si>
    <t>一般</t>
  </si>
  <si>
    <t>较好</t>
  </si>
  <si>
    <t>七通</t>
  </si>
  <si>
    <t>精装修</t>
  </si>
  <si>
    <t>精装修</t>
    <phoneticPr fontId="30" type="noConversion"/>
  </si>
  <si>
    <t>普通装修</t>
    <phoneticPr fontId="30" type="noConversion"/>
  </si>
  <si>
    <t>简单装修</t>
    <phoneticPr fontId="30" type="noConversion"/>
  </si>
  <si>
    <t>毛坯</t>
    <phoneticPr fontId="30" type="noConversion"/>
  </si>
  <si>
    <t>全业态</t>
    <phoneticPr fontId="30" type="noConversion"/>
  </si>
  <si>
    <t>不可餐饮</t>
  </si>
  <si>
    <t>不可餐饮</t>
    <phoneticPr fontId="30" type="noConversion"/>
  </si>
  <si>
    <t>标准层高</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</si>
  <si>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</si>
  <si>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</si>
  <si>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</si>
  <si>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</si>
  <si>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</si>
  <si>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自定义容积率</t>
  </si>
  <si>
    <t>平整</t>
  </si>
  <si>
    <t>好</t>
  </si>
  <si>
    <t>不临65条商业街</t>
  </si>
  <si>
    <r>
      <t>5</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103</t>
    </r>
    <phoneticPr fontId="24"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</si>
  <si>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</si>
  <si>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</si>
  <si>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</si>
  <si>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</si>
  <si>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</si>
  <si>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</si>
  <si>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一般</t>
    <phoneticPr fontId="30" type="noConversion"/>
  </si>
  <si>
    <t>较差</t>
    <phoneticPr fontId="30" type="noConversion"/>
  </si>
  <si>
    <t>较大</t>
    <phoneticPr fontId="30" type="noConversion"/>
  </si>
  <si>
    <t>较小</t>
    <phoneticPr fontId="30" type="noConversion"/>
  </si>
  <si>
    <t>1层</t>
  </si>
  <si>
    <t>临街状况</t>
    <phoneticPr fontId="24" type="noConversion"/>
  </si>
  <si>
    <t>可视性</t>
    <phoneticPr fontId="3" type="noConversion"/>
  </si>
  <si>
    <t>楼层</t>
    <phoneticPr fontId="3" type="noConversion"/>
  </si>
  <si>
    <t>租金</t>
  </si>
  <si>
    <t>租金</t>
    <phoneticPr fontId="3" type="noConversion"/>
  </si>
  <si>
    <t>系数</t>
    <phoneticPr fontId="3" type="noConversion"/>
  </si>
  <si>
    <r>
      <t>1</t>
    </r>
    <r>
      <rPr>
        <sz val="11"/>
        <color indexed="8"/>
        <rFont val="宋体"/>
        <family val="3"/>
        <charset val="134"/>
      </rPr>
      <t>层</t>
    </r>
    <phoneticPr fontId="30" type="noConversion"/>
  </si>
  <si>
    <t>独立商业</t>
  </si>
  <si>
    <t>混合</t>
  </si>
  <si>
    <t>全业态</t>
  </si>
  <si>
    <t>已包含在土地取得成本中</t>
  </si>
  <si>
    <t>未包含在土地购买价格中</t>
  </si>
  <si>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</si>
  <si>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</si>
  <si>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</si>
  <si>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</si>
  <si>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</si>
  <si>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居住项目</t>
  </si>
  <si>
    <t>底商负1层-1层</t>
  </si>
  <si>
    <t>与级别开发程度不一致</t>
  </si>
  <si>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</si>
  <si>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2</t>
    </r>
    <r>
      <rPr>
        <sz val="11"/>
        <color indexed="8"/>
        <rFont val="宋体"/>
        <family val="3"/>
        <charset val="134"/>
      </rPr>
      <t>层</t>
    </r>
    <phoneticPr fontId="30" type="noConversion"/>
  </si>
  <si>
    <t>简单装修</t>
  </si>
  <si>
    <t>2层</t>
  </si>
  <si>
    <t>1-2层</t>
  </si>
  <si>
    <r>
      <t>1-2</t>
    </r>
    <r>
      <rPr>
        <sz val="11"/>
        <color indexed="8"/>
        <rFont val="宋体"/>
        <family val="3"/>
        <charset val="134"/>
      </rPr>
      <t>层</t>
    </r>
    <phoneticPr fontId="30" type="noConversion"/>
  </si>
  <si>
    <t>负1层-1层</t>
  </si>
  <si>
    <t>较小</t>
  </si>
  <si>
    <r>
      <t>10-20</t>
    </r>
    <r>
      <rPr>
        <sz val="11"/>
        <color indexed="8"/>
        <rFont val="宋体"/>
        <family val="3"/>
        <charset val="134"/>
      </rPr>
      <t>（含）</t>
    </r>
    <phoneticPr fontId="134" type="noConversion"/>
  </si>
  <si>
    <r>
      <t>10-20</t>
    </r>
    <r>
      <rPr>
        <sz val="11"/>
        <color indexed="8"/>
        <rFont val="宋体"/>
        <family val="3"/>
        <charset val="134"/>
      </rPr>
      <t>（含）</t>
    </r>
    <phoneticPr fontId="134" type="noConversion"/>
  </si>
  <si>
    <t>较差</t>
  </si>
  <si>
    <t>珠江峰景</t>
    <phoneticPr fontId="134" type="noConversion"/>
  </si>
  <si>
    <t>较好</t>
    <phoneticPr fontId="30" type="noConversion"/>
  </si>
  <si>
    <t>押一</t>
  </si>
  <si>
    <t>负1层</t>
    <phoneticPr fontId="30" type="noConversion"/>
  </si>
  <si>
    <t>万科中粮假日风景</t>
    <phoneticPr fontId="134" type="noConversion"/>
  </si>
  <si>
    <t>大成郡</t>
    <phoneticPr fontId="3" type="noConversion"/>
  </si>
  <si>
    <t>较好</t>
    <phoneticPr fontId="30" type="noConversion"/>
  </si>
  <si>
    <t>企业</t>
  </si>
  <si>
    <t>广安﹒康馨家园</t>
    <phoneticPr fontId="134" type="noConversion"/>
  </si>
  <si>
    <t>五通</t>
  </si>
  <si>
    <t>配套底商</t>
  </si>
  <si>
    <t>配套底商</t>
    <phoneticPr fontId="30" type="noConversion"/>
  </si>
  <si>
    <t>配套底商</t>
    <phoneticPr fontId="134"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</si>
  <si>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</si>
  <si>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</si>
  <si>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1-2</t>
    </r>
    <r>
      <rPr>
        <sz val="10"/>
        <color indexed="8"/>
        <rFont val="宋体"/>
        <family val="3"/>
        <charset val="134"/>
      </rPr>
      <t>层</t>
    </r>
    <phoneticPr fontId="3" type="noConversion"/>
  </si>
  <si>
    <r>
      <t>3</t>
    </r>
    <r>
      <rPr>
        <sz val="11"/>
        <color indexed="8"/>
        <rFont val="宋体"/>
        <family val="3"/>
        <charset val="134"/>
      </rPr>
      <t>层</t>
    </r>
    <phoneticPr fontId="30" type="noConversion"/>
  </si>
  <si>
    <t>吴薇</t>
  </si>
  <si>
    <t>商业</t>
    <phoneticPr fontId="134" type="noConversion"/>
  </si>
  <si>
    <r>
      <t>20-30</t>
    </r>
    <r>
      <rPr>
        <sz val="11"/>
        <rFont val="宋体"/>
        <family val="3"/>
        <charset val="134"/>
      </rPr>
      <t>（含）</t>
    </r>
    <phoneticPr fontId="30" type="noConversion"/>
  </si>
  <si>
    <r>
      <t>20-30</t>
    </r>
    <r>
      <rPr>
        <sz val="11"/>
        <color indexed="8"/>
        <rFont val="宋体"/>
        <family val="3"/>
        <charset val="134"/>
      </rPr>
      <t>（含）</t>
    </r>
    <phoneticPr fontId="30" type="noConversion"/>
  </si>
  <si>
    <t>负1层</t>
    <phoneticPr fontId="30" type="noConversion"/>
  </si>
  <si>
    <r>
      <t>1-</t>
    </r>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</si>
  <si>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财满街</t>
    <phoneticPr fontId="30" type="noConversion"/>
  </si>
  <si>
    <t>商业2层</t>
  </si>
  <si>
    <t>商业2层</t>
    <phoneticPr fontId="7" type="noConversion"/>
  </si>
  <si>
    <t>房山区长阳镇祥云街5号院4号楼2层201配套商业用房</t>
    <phoneticPr fontId="6" type="noConversion"/>
  </si>
  <si>
    <t>楼层修正</t>
  </si>
  <si>
    <t>中心城区以外</t>
  </si>
  <si>
    <t>成本法 (元)</t>
  </si>
  <si>
    <t>楼盘</t>
    <phoneticPr fontId="134" type="noConversion"/>
  </si>
  <si>
    <t>面积</t>
    <phoneticPr fontId="134" type="noConversion"/>
  </si>
  <si>
    <t>租金</t>
    <phoneticPr fontId="134" type="noConversion"/>
  </si>
  <si>
    <t>售价</t>
    <phoneticPr fontId="134" type="noConversion"/>
  </si>
  <si>
    <t>楼层</t>
    <phoneticPr fontId="134" type="noConversion"/>
  </si>
  <si>
    <t>3层</t>
    <phoneticPr fontId="134" type="noConversion"/>
  </si>
  <si>
    <t>临小路，中楼层近地铁简装朝南，之前客户一年50万租的业主说的；1层租金5-8元</t>
    <phoneticPr fontId="134" type="noConversion"/>
  </si>
  <si>
    <t>首开熙悦广场</t>
    <phoneticPr fontId="134" type="noConversion"/>
  </si>
  <si>
    <t>1层</t>
    <phoneticPr fontId="134" type="noConversion"/>
  </si>
  <si>
    <t>临街，可餐饮，低楼层近地铁精装朝南</t>
    <phoneticPr fontId="134" type="noConversion"/>
  </si>
  <si>
    <t>临小路，不可餐饮，低楼层精装朝西南</t>
    <phoneticPr fontId="134" type="noConversion"/>
  </si>
  <si>
    <t>临街，可餐饮，低楼层近地铁毛坯朝北，商业街商铺，人流量看具体位置</t>
    <phoneticPr fontId="134" type="noConversion"/>
  </si>
  <si>
    <t>2层</t>
    <phoneticPr fontId="134" type="noConversion"/>
  </si>
  <si>
    <t>中楼层近地铁简装朝北</t>
    <phoneticPr fontId="134" type="noConversion"/>
  </si>
  <si>
    <t>长阳半岛2号院</t>
    <phoneticPr fontId="134" type="noConversion"/>
  </si>
  <si>
    <t>临街，不可餐饮，低楼层近地铁精装朝南</t>
    <phoneticPr fontId="134" type="noConversion"/>
  </si>
  <si>
    <t>不可餐饮，低楼层近地铁简装朝南</t>
    <phoneticPr fontId="134" type="noConversion"/>
  </si>
  <si>
    <t>低楼层近地铁毛坯朝东北</t>
    <phoneticPr fontId="134" type="noConversion"/>
  </si>
  <si>
    <t>徜徉嘉园6号院</t>
    <phoneticPr fontId="134" type="noConversion"/>
  </si>
  <si>
    <t>徜徉嘉园6号院</t>
    <phoneticPr fontId="30" type="noConversion"/>
  </si>
  <si>
    <t>可餐饮，低楼层近地铁毛坯朝西</t>
    <phoneticPr fontId="134" type="noConversion"/>
  </si>
  <si>
    <t>长阳半岛怡和南路10号院</t>
    <phoneticPr fontId="134" type="noConversion"/>
  </si>
  <si>
    <t>低楼层简装朝东</t>
    <phoneticPr fontId="134" type="noConversion"/>
  </si>
  <si>
    <t>徜徉嘉园6号院</t>
    <phoneticPr fontId="30" type="noConversion"/>
  </si>
  <si>
    <t>FCC中央城</t>
    <phoneticPr fontId="134" type="noConversion"/>
  </si>
  <si>
    <t>FCC中央城</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</si>
</sst>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1"/>
      <color rgb="FF101D37"/>
      <name val="Segoe UI"/>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178" fontId="44" fillId="0" borderId="23" xfId="0" applyNumberFormat="1" applyFont="1" applyBorder="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1" fontId="47"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vertical="center"/>
    </xf>
    <xf numFmtId="0" fontId="95" fillId="0" borderId="0" xfId="0" applyFont="1" applyAlignment="1">
      <alignment vertical="center"/>
    </xf>
    <xf numFmtId="0" fontId="0" fillId="0" borderId="0" xfId="0" applyAlignment="1">
      <alignment vertical="center"/>
    </xf>
    <xf numFmtId="0" fontId="95" fillId="0" borderId="0" xfId="0" applyFont="1" applyAlignment="1">
      <alignment vertical="center" wrapText="1"/>
    </xf>
    <xf numFmtId="0" fontId="269" fillId="0" borderId="0" xfId="0" applyFont="1" applyAlignme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398801</xdr:colOff>
      <xdr:row>26</xdr:row>
      <xdr:rowOff>56607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71450"/>
          <a:ext cx="10000001" cy="4342857"/>
        </a:xfrm>
        <a:prstGeom prst="rect">
          <a:avLst/>
        </a:prstGeom>
      </xdr:spPr>
    </xdr:pic>
    <xdr:clientData/>
  </xdr:twoCellAnchor>
  <xdr:twoCellAnchor editAs="oneCell">
    <xdr:from>
      <xdr:col>0</xdr:col>
      <xdr:colOff>0</xdr:colOff>
      <xdr:row>28</xdr:row>
      <xdr:rowOff>0</xdr:rowOff>
    </xdr:from>
    <xdr:to>
      <xdr:col>11</xdr:col>
      <xdr:colOff>551439</xdr:colOff>
      <xdr:row>56</xdr:row>
      <xdr:rowOff>170829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800600"/>
          <a:ext cx="8095239" cy="4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北京市房山区长阳镇祥云街5号院4号楼2层201配套商业用房房地产抵押价值预评估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受贵公司委托，我公司对北京市房山区长阳镇祥云街5号院4号楼2层201配套商业用房房地产抵押价值进行了预评估。</v>
      </c>
    </row>
    <row r="7" spans="1:2" s="1201" customFormat="1">
      <c r="A7" s="1199" t="s">
        <v>566</v>
      </c>
      <c r="B7" s="1200" t="str">
        <f>'预评函-1'!A7</f>
        <v>估价对象为北京市房山区长阳镇祥云街5号院4号楼2层201配套商业用房房地产，为所有。根据《国有土地使用证》[]，估价对象（分摊）出让国有建设用地使用权面积为0平方米，建筑面积为554.57平方米。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山区长阳镇祥云街5号院4号楼2层201配套商业用房房地产,属开发建设的居住项目，该项目尚在开发建设中。根据《国有土地使用证》[]，估价对象（分摊）出让国有建设用地使用权面积为0平方米，规划建筑面积为554.57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山区长阳镇祥云街5号院4号楼2层201配套商业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2023年6月8日（评估专业人员实地查勘之日）</v>
      </c>
    </row>
    <row r="13" spans="1:2" s="1201" customFormat="1">
      <c r="A13" s="1199" t="s">
        <v>529</v>
      </c>
      <c r="B13" s="1200" t="str">
        <f>'预评函-1'!A18</f>
        <v>本次估价的“房地产价值”是指在正常市场情况下，在价值时点2023年6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1215</v>
      </c>
    </row>
    <row r="21" spans="1:2" s="1201" customFormat="1">
      <c r="A21" s="1199" t="s">
        <v>537</v>
      </c>
      <c r="B21" s="1200">
        <f ca="1">'预评函-2'!D7</f>
        <v>21905</v>
      </c>
    </row>
    <row r="22" spans="1:2" s="1201" customFormat="1">
      <c r="A22" s="1199" t="s">
        <v>538</v>
      </c>
      <c r="B22" s="1200" t="str">
        <f ca="1">'预评函-2'!D6</f>
        <v>壹仟贰佰壹拾伍万元整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1215</v>
      </c>
    </row>
    <row r="31" spans="1:2" s="1201" customFormat="1">
      <c r="A31" s="1199" t="s">
        <v>576</v>
      </c>
      <c r="B31" s="1200">
        <f ca="1">'预评函-2'!D15</f>
        <v>21905</v>
      </c>
    </row>
    <row r="32" spans="1:2" s="1201" customFormat="1">
      <c r="A32" s="1199" t="s">
        <v>543</v>
      </c>
      <c r="B32" s="1200" t="str">
        <f ca="1">'预评函-2'!D14</f>
        <v>壹仟贰佰壹拾伍万元整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北京市房山区长阳镇祥云街5号院4号楼2层201配套商业用房房地产</v>
      </c>
    </row>
    <row r="42" spans="1:2" s="1201" customFormat="1">
      <c r="A42" s="1199" t="s">
        <v>590</v>
      </c>
      <c r="B42" s="1200" t="str">
        <f>'预评函-3'!B2</f>
        <v>建筑面积</v>
      </c>
    </row>
    <row r="43" spans="1:2" s="1201" customFormat="1">
      <c r="A43" s="1199" t="s">
        <v>591</v>
      </c>
      <c r="B43" s="1200">
        <f>'预评函-3'!B4</f>
        <v>554.57000000000005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934</v>
      </c>
    </row>
    <row r="48" spans="1:2" s="1201" customFormat="1">
      <c r="A48" s="1199" t="s">
        <v>549</v>
      </c>
      <c r="B48" s="1200">
        <f ca="1">'预评函-3'!E4</f>
        <v>16845</v>
      </c>
    </row>
    <row r="49" spans="1:2" s="1201" customFormat="1">
      <c r="A49" s="1199" t="s">
        <v>550</v>
      </c>
      <c r="B49" s="1200" t="str">
        <f ca="1">'预评函-3'!D5</f>
        <v>玖佰叁拾肆万元整</v>
      </c>
    </row>
    <row r="50" spans="1:2" s="1201" customFormat="1">
      <c r="A50" s="1199" t="s">
        <v>574</v>
      </c>
      <c r="B50" s="1200" t="str">
        <f>'预评函-3'!F2</f>
        <v>在建建筑物价值</v>
      </c>
    </row>
    <row r="51" spans="1:2" s="1201" customFormat="1">
      <c r="A51" s="1199" t="s">
        <v>551</v>
      </c>
      <c r="B51" s="1200">
        <f ca="1">'预评函-3'!F4</f>
        <v>281</v>
      </c>
    </row>
    <row r="52" spans="1:2" s="1201" customFormat="1">
      <c r="A52" s="1199" t="s">
        <v>552</v>
      </c>
      <c r="B52" s="1200">
        <f ca="1">'预评函-3'!G4</f>
        <v>5060</v>
      </c>
    </row>
    <row r="53" spans="1:2" s="1201" customFormat="1">
      <c r="A53" s="1199" t="s">
        <v>580</v>
      </c>
      <c r="B53" s="1200" t="str">
        <f ca="1">'预评函-3'!F5</f>
        <v>贰佰捌拾壹万元整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2577</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2578</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2290</v>
      </c>
      <c r="C17" s="1545"/>
    </row>
    <row r="18" spans="1:3">
      <c r="A18" s="1544" t="s">
        <v>1046</v>
      </c>
      <c r="B18" s="1544" t="s">
        <v>2433</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长阳镇祥云街5号院4号楼2层201配套商业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2" t="s">
        <v>385</v>
      </c>
      <c r="C54" s="1549" t="s">
        <v>583</v>
      </c>
    </row>
    <row r="55" spans="1:4">
      <c r="A55" s="3508"/>
      <c r="B55" s="1552" t="s">
        <v>386</v>
      </c>
      <c r="C55" s="1549" t="s">
        <v>584</v>
      </c>
    </row>
    <row r="56" spans="1:4">
      <c r="A56" s="3508"/>
      <c r="B56" s="1552" t="s">
        <v>387</v>
      </c>
      <c r="C56" s="1549" t="s">
        <v>588</v>
      </c>
    </row>
    <row r="57" spans="1:4">
      <c r="A57" s="350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509" t="s">
        <v>2580</v>
      </c>
      <c r="J2" s="3509"/>
      <c r="K2" s="3509"/>
      <c r="L2" s="3509"/>
      <c r="M2" s="3509"/>
      <c r="N2" s="3509"/>
      <c r="O2" s="3509"/>
      <c r="P2" s="3509"/>
      <c r="Q2" s="3509"/>
      <c r="R2" s="3509"/>
    </row>
    <row r="3" spans="1:18">
      <c r="A3" s="3017" t="s">
        <v>2501</v>
      </c>
      <c r="B3" s="3018">
        <f>项目基本情况!D3</f>
        <v>45085</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3.53</v>
      </c>
      <c r="D5" s="3022">
        <f>IF(ISERROR(ROUND(POWER(1+E5,A5-C5)*(POWER(1+E5,C5)-1)/(POWER(1+E5,A5)-1),3)),0,ROUND(POWER(1+E5,A5-C5)*(POWER(1+E5,C5)-1)/(POWER(1+E5,A5)-1),4))</f>
        <v>0.1633</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13.54</v>
      </c>
      <c r="D6" s="3022">
        <f>IF(ISERROR(ROUND(POWER(1+E6,A6-C6)*(POWER(1+E6,C6)-1)/(POWER(1+E6,A6)-1),3)),0,ROUND(POWER(1+E6,A6-C6)*(POWER(1+E6,C6)-1)/(POWER(1+E6,A6)-1),4))</f>
        <v>0.47949999999999998</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33.549999999999997</v>
      </c>
      <c r="D7" s="3022">
        <f>IF(ISERROR(ROUND(POWER(1+E7,A7-C7)*(POWER(1+E7,C7)-1)/(POWER(1+E7,A7)-1),3)),0,ROUND(POWER(1+E7,A7-C7)*(POWER(1+E7,C7)-1)/(POWER(1+E7,A7)-1),4))</f>
        <v>0.78200000000000003</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10" t="str">
        <f>IF(B10="北京市","北京市",C10)&amp;F10&amp;IF(结果表!G1="在建","出让国有建设用地使用权及在建建筑物",IF(结果表!G1="土地","出让国有建设用地使用权",))&amp;B9&amp;"预评估"</f>
        <v>北京市房山区长阳镇祥云街5号院4号楼2层201配套商业用房房地产抵押价值预评估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北京市房山区长阳镇祥云街5号院4号楼2层201配套商业用房房地产抵押价值</v>
      </c>
      <c r="T1" s="1743"/>
      <c r="U1" s="1743"/>
      <c r="V1" s="1743"/>
      <c r="W1" s="1743"/>
      <c r="X1" s="1743"/>
      <c r="Y1" s="1743"/>
      <c r="Z1" s="1743"/>
      <c r="AA1" s="1743"/>
      <c r="AB1" s="1743"/>
    </row>
    <row r="2" spans="1:30">
      <c r="A2" s="2365" t="s">
        <v>2166</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北京市房山区长阳镇祥云街5号院4号楼2层201配套商业用房房地产</v>
      </c>
      <c r="T2" s="1743"/>
      <c r="U2" s="1743"/>
      <c r="V2" s="1743"/>
      <c r="W2" s="1743"/>
      <c r="X2" s="1743"/>
      <c r="Y2" s="1743"/>
      <c r="Z2" s="1743"/>
      <c r="AA2" s="1743"/>
      <c r="AB2" s="1743"/>
    </row>
    <row r="3" spans="1:30">
      <c r="A3" s="302" t="s">
        <v>2167</v>
      </c>
      <c r="B3" s="2371">
        <v>45085</v>
      </c>
      <c r="C3" s="2372" t="s">
        <v>2168</v>
      </c>
      <c r="D3" s="2371">
        <f>B3</f>
        <v>45085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3484</v>
      </c>
      <c r="C4" s="2374">
        <f ca="1">SUMIF(注册房地产估价师,B4,估价师及机构信息!B3:B24)</f>
        <v>1419970001</v>
      </c>
      <c r="D4" s="2373" t="s">
        <v>3373</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3374</v>
      </c>
      <c r="C8" s="2388"/>
      <c r="D8" s="3513" t="s">
        <v>2174</v>
      </c>
      <c r="E8" s="2389" t="s">
        <v>3375</v>
      </c>
      <c r="F8" s="2390"/>
      <c r="G8" s="2661"/>
      <c r="H8" s="2661"/>
      <c r="I8" s="2661"/>
      <c r="J8" s="2437"/>
      <c r="K8" s="2612"/>
      <c r="L8" s="2611"/>
      <c r="M8" s="2611"/>
      <c r="N8" s="2437"/>
      <c r="O8" s="2448"/>
      <c r="P8" s="2437"/>
      <c r="Q8" s="2437"/>
      <c r="R8" s="2437"/>
    </row>
    <row r="9" spans="1:30" ht="13.5" thickBot="1">
      <c r="A9" s="2391" t="s">
        <v>2175</v>
      </c>
      <c r="B9" s="2392" t="s">
        <v>3375</v>
      </c>
      <c r="C9" s="2393"/>
      <c r="D9" s="3514"/>
      <c r="E9" s="2392"/>
      <c r="F9" s="2394"/>
      <c r="G9" s="2663"/>
      <c r="H9" s="2663"/>
      <c r="I9" s="2663"/>
      <c r="J9" s="2437"/>
      <c r="K9" s="2614"/>
      <c r="L9" s="2611"/>
      <c r="M9" s="2611"/>
      <c r="N9" s="2437"/>
      <c r="O9" s="2448"/>
      <c r="P9" s="2437"/>
      <c r="Q9" s="2437"/>
      <c r="R9" s="2437"/>
    </row>
    <row r="10" spans="1:30" ht="13.5" thickTop="1">
      <c r="A10" s="2395" t="s">
        <v>2176</v>
      </c>
      <c r="B10" s="2396" t="s">
        <v>3376</v>
      </c>
      <c r="C10" s="2397"/>
      <c r="D10" s="2380"/>
      <c r="E10" s="2398" t="s">
        <v>2177</v>
      </c>
      <c r="F10" s="3462" t="s">
        <v>3493</v>
      </c>
      <c r="G10" s="2664"/>
      <c r="H10" s="2665"/>
      <c r="I10" s="2666"/>
      <c r="J10" s="2437"/>
      <c r="K10" s="2614"/>
      <c r="L10" s="2611"/>
      <c r="M10" s="2611"/>
      <c r="N10" s="2437"/>
      <c r="O10" s="2448"/>
      <c r="P10" s="2437"/>
      <c r="Q10" s="2437"/>
      <c r="R10" s="2437"/>
    </row>
    <row r="11" spans="1:30">
      <c r="A11" s="2399" t="s">
        <v>2178</v>
      </c>
      <c r="B11" s="2400" t="s">
        <v>3474</v>
      </c>
      <c r="C11" s="2401"/>
      <c r="D11" s="2402"/>
      <c r="E11" s="2368"/>
      <c r="F11" s="2368"/>
      <c r="G11" s="2368"/>
      <c r="H11" s="2368"/>
      <c r="I11" s="2368"/>
      <c r="J11" s="3058"/>
      <c r="K11" s="3057"/>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6" t="s">
        <v>2576</v>
      </c>
      <c r="J12" s="3059"/>
      <c r="K12" s="2611"/>
      <c r="L12" s="2611"/>
      <c r="M12" s="2437"/>
      <c r="N12" s="2448"/>
      <c r="O12" s="2437"/>
      <c r="P12" s="2437"/>
      <c r="Q12" s="2437"/>
      <c r="AD12" s="1743"/>
    </row>
    <row r="13" spans="1:30">
      <c r="A13" s="3420" t="s">
        <v>3333</v>
      </c>
      <c r="B13" s="2405" t="s">
        <v>2187</v>
      </c>
      <c r="C13" s="854"/>
      <c r="D13" s="854">
        <v>54940</v>
      </c>
      <c r="E13" s="854"/>
      <c r="F13" s="854"/>
      <c r="G13" s="854"/>
      <c r="H13" s="854"/>
      <c r="I13" s="854"/>
      <c r="J13" s="3059"/>
      <c r="K13" s="2611"/>
      <c r="L13" s="2611"/>
      <c r="M13" s="2437"/>
      <c r="N13" s="2448"/>
      <c r="O13" s="2437"/>
      <c r="P13" s="2437"/>
      <c r="Q13" s="2437"/>
      <c r="AD13" s="1743"/>
    </row>
    <row r="14" spans="1:30">
      <c r="A14" s="1079"/>
      <c r="B14" s="2405" t="s">
        <v>2188</v>
      </c>
      <c r="C14" s="2406"/>
      <c r="D14" s="2406">
        <v>40</v>
      </c>
      <c r="E14" s="2406"/>
      <c r="F14" s="2406"/>
      <c r="G14" s="2406"/>
      <c r="H14" s="2406"/>
      <c r="I14" s="2406"/>
      <c r="J14" s="3060"/>
      <c r="K14" s="2611"/>
      <c r="L14" s="2611"/>
      <c r="M14" s="2437"/>
      <c r="N14" s="2448"/>
      <c r="O14" s="2437"/>
      <c r="P14" s="2437"/>
      <c r="Q14" s="2437"/>
      <c r="AD14" s="1743"/>
    </row>
    <row r="15" spans="1:30">
      <c r="A15" s="320"/>
      <c r="B15" s="2407" t="s">
        <v>2189</v>
      </c>
      <c r="C15" s="2408" t="str">
        <f>IF(A13="出让",IF(C13="","",ROUNDDOWN(MIN((C13-$D$3)/365,C14),2)),C14)</f>
        <v/>
      </c>
      <c r="D15" s="2408">
        <f>IF(A13="出让",IF(D13="","",ROUNDDOWN(MIN((D13-$D$3)/365,D14),2)),D14)</f>
        <v>27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2190</v>
      </c>
      <c r="B16" s="3520"/>
      <c r="C16" s="3521"/>
      <c r="D16" s="3522"/>
      <c r="E16" s="2411" t="s">
        <v>2191</v>
      </c>
      <c r="F16" s="3523"/>
      <c r="G16" s="3524"/>
      <c r="H16" s="3524"/>
      <c r="I16" s="3525"/>
      <c r="J16" s="2437"/>
      <c r="K16" s="2615"/>
      <c r="L16" s="2449"/>
      <c r="M16" s="2449"/>
      <c r="N16" s="2507"/>
      <c r="O16" s="2449"/>
      <c r="P16" s="2507"/>
      <c r="Q16" s="2437"/>
      <c r="R16" s="2437"/>
    </row>
    <row r="17" spans="1:28">
      <c r="A17" s="313" t="s">
        <v>2192</v>
      </c>
      <c r="B17" s="302" t="s">
        <v>2193</v>
      </c>
      <c r="C17" s="8">
        <f>'数据-汇总表'!E3</f>
        <v>554.57000000000005</v>
      </c>
      <c r="D17" s="2320" t="s">
        <v>2194</v>
      </c>
      <c r="E17" s="3526" t="s">
        <v>2195</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2196</v>
      </c>
      <c r="B18" s="1088" t="s">
        <v>2197</v>
      </c>
      <c r="C18" s="2413">
        <f>'数据-汇总表'!D3</f>
        <v>0</v>
      </c>
      <c r="D18" s="1090" t="s">
        <v>2198</v>
      </c>
      <c r="E18" s="3529" t="s">
        <v>2199</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2200</v>
      </c>
      <c r="C19" s="1561"/>
      <c r="D19" s="1562" t="s">
        <v>2201</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2202</v>
      </c>
      <c r="B20" s="3516" t="s">
        <v>2203</v>
      </c>
      <c r="C20" s="3517"/>
      <c r="D20" s="3518" t="s">
        <v>2204</v>
      </c>
      <c r="E20" s="3519"/>
      <c r="F20" s="2645" t="s">
        <v>1056</v>
      </c>
      <c r="G20" s="2662"/>
      <c r="H20" s="2662"/>
      <c r="I20" s="2662"/>
      <c r="J20" s="2437"/>
      <c r="K20" s="351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2206</v>
      </c>
      <c r="C21" s="2632" t="s">
        <v>1057</v>
      </c>
      <c r="D21" s="1566" t="s">
        <v>2207</v>
      </c>
      <c r="E21" s="2633" t="s">
        <v>1057</v>
      </c>
      <c r="F21" s="2646"/>
      <c r="G21" s="2662"/>
      <c r="H21" s="2662"/>
      <c r="I21" s="2662"/>
      <c r="J21" s="2437"/>
      <c r="K21" s="351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2208</v>
      </c>
      <c r="C22" s="2632" t="s">
        <v>1058</v>
      </c>
      <c r="D22" s="2661"/>
      <c r="E22" s="2661"/>
      <c r="F22" s="2661"/>
      <c r="G22" s="2662"/>
      <c r="H22" s="2662"/>
      <c r="I22" s="2662"/>
      <c r="J22" s="2437"/>
      <c r="K22" s="351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2211</v>
      </c>
      <c r="B27" s="320" t="s">
        <v>2212</v>
      </c>
      <c r="C27" s="2414" t="s">
        <v>3453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2" t="s">
        <v>2213</v>
      </c>
      <c r="C28" s="2416" t="s">
        <v>3378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2" t="s">
        <v>2214</v>
      </c>
      <c r="C29" s="2418" t="s">
        <v>3379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2" t="s">
        <v>2215</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2216</v>
      </c>
      <c r="B31" s="2420" t="s">
        <v>3380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t="s">
        <v>3381</v>
      </c>
      <c r="C34" s="2024" t="s">
        <v>3382</v>
      </c>
      <c r="D34" s="2024" t="s">
        <v>3383</v>
      </c>
      <c r="E34" s="2024" t="s">
        <v>3384</v>
      </c>
      <c r="F34" s="2024" t="s">
        <v>3385</v>
      </c>
      <c r="G34" s="2024" t="s">
        <v>3386</v>
      </c>
      <c r="H34" s="2024" t="s">
        <v>3387</v>
      </c>
      <c r="I34" s="2662"/>
      <c r="J34" s="2437"/>
      <c r="K34" s="2425">
        <f>COUNTIF(B34:H34,"——")</f>
        <v>0</v>
      </c>
      <c r="L34" s="323" t="s">
        <v>2218</v>
      </c>
      <c r="M34" s="323" t="s">
        <v>2219</v>
      </c>
      <c r="N34" s="323" t="s">
        <v>2220</v>
      </c>
      <c r="O34" s="323" t="s">
        <v>2221</v>
      </c>
      <c r="P34" s="323" t="s">
        <v>2222</v>
      </c>
      <c r="Q34" s="323" t="s">
        <v>2223</v>
      </c>
      <c r="R34" s="323" t="s">
        <v>2224</v>
      </c>
      <c r="S34" s="3532" t="s">
        <v>2225</v>
      </c>
      <c r="T34" s="2426" t="str">
        <f>NUMBERSTRING(7-K34,1)&amp;"通"</f>
        <v>七通</v>
      </c>
      <c r="U34" s="2437"/>
      <c r="V34" s="2437"/>
    </row>
    <row r="35" spans="1:30">
      <c r="A35" s="2427"/>
      <c r="B35" s="3539" t="s">
        <v>2226</v>
      </c>
      <c r="C35" s="3539"/>
      <c r="D35" s="3539"/>
      <c r="E35" s="3539"/>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2"/>
      <c r="T35" s="329" t="str">
        <f>IF(T34="一通",L35,IF(T34="二通",M35,IF(T34="三通",N35,IF(T34="四通",O35,IF(T34="五通",P35,IF(T34="六通",Q35,R35))))))</f>
        <v>通路、通电、通讯、通上水、通下水、通热、燃气</v>
      </c>
      <c r="U35" s="2437"/>
      <c r="V35" s="2437"/>
    </row>
    <row r="36" spans="1:30">
      <c r="A36" s="2428"/>
      <c r="B36" s="662" t="s">
        <v>2182</v>
      </c>
      <c r="C36" s="662" t="s">
        <v>2183</v>
      </c>
      <c r="D36" s="662" t="s">
        <v>2181</v>
      </c>
      <c r="E36" s="662" t="s">
        <v>2186</v>
      </c>
      <c r="F36" s="3062"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t="s">
        <v>240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2230</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554.57000000000005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554.57000000000005</v>
      </c>
      <c r="H5" s="13">
        <f t="shared" ref="H5:AT5" si="0">SUM(H13:H656)</f>
        <v>554.57000000000005</v>
      </c>
      <c r="I5" s="13">
        <f t="shared" si="0"/>
        <v>554.57000000000005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554.57000000000005</v>
      </c>
      <c r="BA5" s="15">
        <f t="shared" si="1"/>
        <v>554.57000000000005</v>
      </c>
      <c r="BB5" s="15">
        <f t="shared" si="1"/>
        <v>554.57000000000005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3390</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底商</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554.57000000000005</v>
      </c>
      <c r="H13" s="17">
        <f>SUMIF(I$12:AB$12,"总值",I13:AB13)</f>
        <v>554.57000000000005</v>
      </c>
      <c r="I13" s="1624">
        <v>554.57000000000005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554.57000000000005</v>
      </c>
      <c r="BA13" s="13">
        <f>SUM(BB13:BK13)</f>
        <v>554.57000000000005</v>
      </c>
      <c r="BB13" s="13">
        <f>IF($D13="是",I13-J13,0)</f>
        <v>554.57000000000005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66"/>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66"/>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9" t="s">
        <v>1131</v>
      </c>
      <c r="B2" s="3549"/>
      <c r="C2" s="3549"/>
      <c r="D2" s="794" t="s">
        <v>1107</v>
      </c>
      <c r="E2" s="1637" t="s">
        <v>1108</v>
      </c>
      <c r="F2" s="2657"/>
      <c r="G2" s="2648"/>
      <c r="H2" s="2649"/>
      <c r="I2" s="2323" t="s">
        <v>1132</v>
      </c>
      <c r="J2" s="2657"/>
      <c r="K2" s="2657"/>
      <c r="L2" s="2657"/>
      <c r="M2" s="2657"/>
      <c r="N2" s="2659"/>
      <c r="O2" s="2657"/>
      <c r="P2" s="2657"/>
    </row>
    <row r="3" spans="1:16" ht="15.75" thickBot="1">
      <c r="A3" s="3550" t="s">
        <v>1105</v>
      </c>
      <c r="B3" s="3550"/>
      <c r="C3" s="3550"/>
      <c r="D3" s="43">
        <f>'数据-基础表'!AY6</f>
        <v>0</v>
      </c>
      <c r="E3" s="43">
        <f>'数据-基础表'!AZ5</f>
        <v>554.57000000000005</v>
      </c>
      <c r="F3" s="2657"/>
      <c r="G3" s="1143"/>
      <c r="H3" s="1024" t="s">
        <v>1106</v>
      </c>
      <c r="I3" s="853" t="e">
        <f>ROUND('数据-基础表'!B3/'数据-基础表'!A3,2)</f>
        <v>#DIV/0!</v>
      </c>
      <c r="J3" s="2657"/>
      <c r="K3" s="2657"/>
      <c r="L3" s="2657"/>
      <c r="M3" s="2657"/>
      <c r="N3" s="2659"/>
      <c r="O3" s="2657"/>
      <c r="P3" s="2657"/>
    </row>
    <row r="4" spans="1:16" ht="15">
      <c r="A4" s="3551"/>
      <c r="B4" s="3552"/>
      <c r="C4" s="3553"/>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54" t="s">
        <v>1110</v>
      </c>
      <c r="C5" s="3554"/>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54" t="s">
        <v>1111</v>
      </c>
      <c r="C6" s="3554"/>
      <c r="D6" s="45">
        <f>ROUND($D$3*E6/$E$3,2)</f>
        <v>0</v>
      </c>
      <c r="E6" s="46">
        <f>E3-E5</f>
        <v>554.57000000000005</v>
      </c>
      <c r="F6" s="2657"/>
      <c r="G6" s="2651" t="s">
        <v>1112</v>
      </c>
      <c r="H6" s="1144" t="s">
        <v>1113</v>
      </c>
      <c r="I6" s="2652" t="e">
        <f>ROUND(F31/D31,2)</f>
        <v>#DIV/0!</v>
      </c>
      <c r="J6" s="2657"/>
      <c r="K6" s="2657"/>
      <c r="L6" s="2657"/>
      <c r="M6" s="2657"/>
      <c r="N6" s="2657"/>
      <c r="O6" s="2657"/>
      <c r="P6" s="2657"/>
    </row>
    <row r="7" spans="1:16" ht="15.75" thickBot="1">
      <c r="A7" s="3546"/>
      <c r="B7" s="3547"/>
      <c r="C7" s="3548"/>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554.57000000000005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554.57000000000005</v>
      </c>
      <c r="F16" s="2657"/>
      <c r="G16" s="2658"/>
      <c r="H16" s="1646" t="s">
        <v>1135</v>
      </c>
      <c r="I16" s="1647"/>
      <c r="J16" s="1137"/>
      <c r="K16" s="3543" t="s">
        <v>1135</v>
      </c>
      <c r="L16" s="3544"/>
      <c r="M16" s="3544"/>
      <c r="N16" s="3544"/>
      <c r="O16" s="3544"/>
      <c r="P16" s="3545"/>
    </row>
    <row r="17" spans="1:19" ht="15">
      <c r="A17" s="1648" t="s">
        <v>1136</v>
      </c>
      <c r="B17" s="1649" t="s">
        <v>1137</v>
      </c>
      <c r="C17" s="1650" t="s">
        <v>1138</v>
      </c>
      <c r="D17" s="1651" t="s">
        <v>1126</v>
      </c>
      <c r="E17" s="1652" t="s">
        <v>1127</v>
      </c>
      <c r="F17" s="1653"/>
      <c r="G17" s="1654"/>
      <c r="H17" s="1655" t="s">
        <v>1139</v>
      </c>
      <c r="I17" s="1656" t="s">
        <v>1124</v>
      </c>
      <c r="J17" s="1137"/>
      <c r="K17" s="3540" t="s">
        <v>1140</v>
      </c>
      <c r="L17" s="3541"/>
      <c r="M17" s="3542"/>
      <c r="N17" s="3540" t="s">
        <v>1141</v>
      </c>
      <c r="O17" s="3541"/>
      <c r="P17" s="354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3492</v>
      </c>
      <c r="D19" s="45">
        <f>ROUND($D$3*E19/$E$3,2)</f>
        <v>0</v>
      </c>
      <c r="E19" s="53">
        <f t="shared" ref="E19:E26" si="1">SUM(F19:G19)</f>
        <v>554.57000000000005</v>
      </c>
      <c r="F19" s="2792">
        <f>'数据-基础表'!I13</f>
        <v>554.57000000000005</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554.57000000000005</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554.57000000000005</v>
      </c>
      <c r="F27" s="1138">
        <f>IF(SUM(F19:F26)=E8,SUM(F19:F26),"地上面积有误")</f>
        <v>554.57000000000005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554.57000000000005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554.57000000000005</v>
      </c>
      <c r="F31" s="675">
        <f>F27+F30</f>
        <v>554.57000000000005</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45085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商业2层</v>
      </c>
      <c r="B6" s="1711" t="str">
        <f>IF(A6=0,"","经营性")</f>
        <v>经营性</v>
      </c>
      <c r="C6" s="1712" t="s">
        <v>673</v>
      </c>
      <c r="D6" s="856">
        <f>SUMIF(项目基本情况!C$12:I$12,C6,项目基本情况!C$14:I$14)</f>
        <v>40</v>
      </c>
      <c r="E6" s="855">
        <f>IF(B6="","",SUMIF(项目基本情况!C$12:I$12,C6,项目基本情况!C$13:I$13))</f>
        <v>54940</v>
      </c>
      <c r="F6" s="64">
        <f>SUMIF(项目基本情况!C$12:I$12,C6,项目基本情况!C$15:I$15)</f>
        <v>27</v>
      </c>
      <c r="G6" s="65">
        <f>IF(ISERROR(ROUND(POWER(1+H6,D6-F6)*(POWER(1+H6,F6)-1)/(POWER(1+H6,D6)-1),3)),0,ROUND(POWER(1+H6,D6-F6)*(POWER(1+H6,F6)-1)/(POWER(1+H6,D6)-1),3))</f>
        <v>0.85299999999999998</v>
      </c>
      <c r="H6" s="730">
        <v>0.05</v>
      </c>
      <c r="I6" s="730">
        <v>5.5E-2</v>
      </c>
      <c r="J6" s="66">
        <v>7.4999999999999997E-2</v>
      </c>
      <c r="K6" s="1028">
        <f>SUMIF('数据-汇总表'!C$19:C$33,A6,'数据-汇总表'!E$19:E$33)</f>
        <v>554.57000000000005</v>
      </c>
      <c r="L6" s="731">
        <v>3500</v>
      </c>
      <c r="M6" s="67">
        <f t="shared" ref="M6:M14" si="0">ROUND(K6*L6/10000,0)</f>
        <v>194</v>
      </c>
      <c r="N6" s="729">
        <f>N19</f>
        <v>0.83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65">
        <f>U22</f>
        <v>5.25</v>
      </c>
      <c r="V6" s="70">
        <v>2.5000000000000001E-2</v>
      </c>
      <c r="W6" s="70">
        <v>0.1</v>
      </c>
      <c r="X6" s="1038"/>
      <c r="Y6" s="71">
        <f>N6</f>
        <v>0.83</v>
      </c>
      <c r="Z6" s="72"/>
      <c r="AA6" s="66"/>
      <c r="AB6" s="66"/>
      <c r="AC6" s="1038"/>
      <c r="AD6" s="73"/>
      <c r="AE6" s="1039">
        <f ca="1">IF(AN6="",0,SUMIF(INDIRECT("'"&amp;AN6&amp;"'"&amp;"!E:E"),$AE$5,INDIRECT("'"&amp;AN6&amp;"'"&amp;"!F:F")))</f>
        <v>27</v>
      </c>
      <c r="AF6" s="1346"/>
      <c r="AG6" s="138">
        <f>IF(AF6="",0,AE6-AF6)</f>
        <v>0</v>
      </c>
      <c r="AH6" s="74"/>
      <c r="AI6" s="76">
        <v>365</v>
      </c>
      <c r="AJ6" s="77"/>
      <c r="AK6" s="78">
        <v>0.01</v>
      </c>
      <c r="AL6" s="79">
        <v>1E-3</v>
      </c>
      <c r="AM6" s="80">
        <v>0.01</v>
      </c>
      <c r="AN6" s="1713" t="s">
        <v>3394</v>
      </c>
      <c r="AO6" s="52">
        <f ca="1">SUMIF(INDIRECT("'"&amp;AN6&amp;"'"&amp;"!A:A"),"总价",INDIRECT("'"&amp;AN6&amp;"'"&amp;"!B:B"))</f>
        <v>1381.5361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hidden="1">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0.85299999999999998</v>
      </c>
      <c r="H16" s="90">
        <f>ROUND(SUMPRODUCT(H6:H13,K6:K13)/SUMPRODUCT((H6:H13&gt;0)*(K6:K13)),3)</f>
        <v>0.05</v>
      </c>
      <c r="I16" s="91"/>
      <c r="J16" s="91"/>
      <c r="K16" s="92">
        <f>SUM(K6:K15)</f>
        <v>554.57000000000005</v>
      </c>
      <c r="L16" s="93">
        <f>ROUND(M16*10000/SUM(K6:K14),0)</f>
        <v>3498</v>
      </c>
      <c r="M16" s="93">
        <f>SUM(M6:M14)</f>
        <v>194</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2013</v>
      </c>
      <c r="O18" s="2668"/>
      <c r="P18" s="2668"/>
      <c r="Q18" s="2668">
        <f>Q16/B20</f>
        <v>7.4999999999999997E-2</v>
      </c>
      <c r="R18" s="2668"/>
      <c r="S18" s="2668"/>
      <c r="T18" s="2669"/>
      <c r="U18" s="2669"/>
      <c r="V18" s="2669"/>
      <c r="W18" s="2669"/>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2302</v>
      </c>
      <c r="D19" s="2673"/>
      <c r="E19" s="2670"/>
      <c r="F19" s="2670"/>
      <c r="G19" s="2670"/>
      <c r="H19" s="2670"/>
      <c r="I19" s="2670"/>
      <c r="J19" s="2670"/>
      <c r="K19" s="2669"/>
      <c r="L19" s="2669"/>
      <c r="M19" s="2668"/>
      <c r="N19" s="2668">
        <f>ROUND((1-0%)-(2023-N18)/60,2)</f>
        <v>0.83</v>
      </c>
      <c r="O19" s="2668"/>
      <c r="P19" s="2668"/>
      <c r="Q19" s="2668"/>
      <c r="R19" s="2668"/>
      <c r="S19" s="2668"/>
      <c r="T19" s="3463" t="s">
        <v>3438</v>
      </c>
      <c r="U19" s="3463" t="s">
        <v>3440</v>
      </c>
      <c r="V19" s="3463" t="s">
        <v>3441</v>
      </c>
      <c r="W19" s="2669"/>
      <c r="X19" s="2669"/>
      <c r="Y19" s="3463"/>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2300</v>
      </c>
      <c r="D20" s="2673"/>
      <c r="E20" s="2670"/>
      <c r="F20" s="2670"/>
      <c r="G20" s="2670"/>
      <c r="H20" s="2670"/>
      <c r="I20" s="2670"/>
      <c r="J20" s="2670"/>
      <c r="K20" s="2669"/>
      <c r="L20" s="2669"/>
      <c r="M20" s="2668"/>
      <c r="N20" s="2668"/>
      <c r="O20" s="2668"/>
      <c r="P20" s="2668"/>
      <c r="Q20" s="2668"/>
      <c r="R20" s="2668"/>
      <c r="S20" s="2668"/>
      <c r="T20" s="2669" t="str">
        <f>'比较法-商业'!C92</f>
        <v>1层</v>
      </c>
      <c r="U20" s="2669">
        <v>7</v>
      </c>
      <c r="V20" s="2669">
        <v>1</v>
      </c>
      <c r="W20" s="2669">
        <f>W23/V23</f>
        <v>35000</v>
      </c>
      <c r="X20" s="2669"/>
      <c r="Y20" s="2669">
        <f>U6*365/'比较法-商业'!B3</f>
        <v>6.252651156720071E-2</v>
      </c>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9" t="s">
        <v>3482</v>
      </c>
      <c r="U21" s="3464">
        <f>U20*V21</f>
        <v>6.125</v>
      </c>
      <c r="V21" s="2669">
        <v>0.875</v>
      </c>
      <c r="W21" s="2669"/>
      <c r="X21" s="2669"/>
      <c r="Y21" s="2669"/>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9" t="s">
        <v>3480</v>
      </c>
      <c r="U22" s="3464">
        <f>U20*V22</f>
        <v>5.25</v>
      </c>
      <c r="V22" s="2669">
        <f>'比较法-商业'!E93/100</f>
        <v>0.75</v>
      </c>
      <c r="W22" s="2669"/>
      <c r="X22" s="2669"/>
      <c r="Y22" s="2669"/>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9" t="s">
        <v>3481</v>
      </c>
      <c r="U23" s="3464">
        <f>U20*V23</f>
        <v>4.2</v>
      </c>
      <c r="V23" s="2669">
        <v>0.6</v>
      </c>
      <c r="W23" s="2669">
        <v>21000</v>
      </c>
      <c r="X23" s="2669"/>
      <c r="Y23" s="2669"/>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9"/>
      <c r="U24" s="2669"/>
      <c r="V24" s="2669"/>
      <c r="W24" s="2669"/>
      <c r="X24" s="2669"/>
      <c r="Y24" s="2669"/>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2304</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(元)'!C10/10000</f>
        <v>11.0914</v>
      </c>
      <c r="C29" s="2799" t="s">
        <v>2291</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2294</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3395</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12</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110</v>
      </c>
      <c r="C53" s="2659"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5" t="s">
        <v>2283</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7"/>
      <c r="I2" s="797"/>
      <c r="J2" s="797"/>
      <c r="K2" s="797"/>
      <c r="L2" s="797"/>
      <c r="M2" s="797"/>
      <c r="N2" s="797"/>
      <c r="O2" s="797"/>
      <c r="P2" s="797"/>
      <c r="Q2" s="797"/>
      <c r="R2" s="797"/>
    </row>
    <row r="3" spans="1:29" ht="48">
      <c r="A3" s="2439" t="s">
        <v>2280</v>
      </c>
      <c r="B3" s="2461" t="s">
        <v>2249</v>
      </c>
      <c r="C3" s="2462" t="s">
        <v>2281</v>
      </c>
      <c r="D3" s="2463"/>
      <c r="E3" s="2440" t="s">
        <v>2280</v>
      </c>
      <c r="F3" s="2464" t="s">
        <v>2250</v>
      </c>
      <c r="G3" s="2465" t="s">
        <v>2282</v>
      </c>
      <c r="H3" s="797"/>
      <c r="I3" s="797"/>
      <c r="J3" s="797"/>
      <c r="K3" s="797"/>
      <c r="L3" s="797"/>
      <c r="M3" s="797"/>
      <c r="N3" s="797"/>
      <c r="O3" s="797"/>
      <c r="P3" s="797"/>
      <c r="Q3" s="797"/>
      <c r="R3" s="797"/>
    </row>
    <row r="4" spans="1:29" ht="36.75">
      <c r="A4" s="2440"/>
      <c r="B4" s="323" t="s">
        <v>2251</v>
      </c>
      <c r="C4" s="2466" t="s">
        <v>2252</v>
      </c>
      <c r="D4" s="2463"/>
      <c r="E4" s="2467"/>
      <c r="F4" s="1371" t="s">
        <v>2253</v>
      </c>
      <c r="G4" s="2468" t="s">
        <v>2254</v>
      </c>
      <c r="H4" s="797"/>
      <c r="I4" s="797"/>
      <c r="J4" s="797"/>
      <c r="K4" s="797"/>
      <c r="L4" s="797"/>
      <c r="M4" s="797"/>
      <c r="N4" s="797"/>
      <c r="O4" s="797"/>
      <c r="P4" s="797"/>
      <c r="Q4" s="797"/>
      <c r="R4" s="797"/>
    </row>
    <row r="5" spans="1:29" ht="36.75">
      <c r="A5" s="2440"/>
      <c r="B5" s="323" t="s">
        <v>2255</v>
      </c>
      <c r="C5" s="2466" t="s">
        <v>2256</v>
      </c>
      <c r="D5" s="2463"/>
      <c r="E5" s="2467"/>
      <c r="F5" s="323" t="s">
        <v>2257</v>
      </c>
      <c r="G5" s="2468" t="s">
        <v>2258</v>
      </c>
      <c r="H5" s="797"/>
      <c r="I5" s="797"/>
      <c r="J5" s="797"/>
      <c r="K5" s="797"/>
      <c r="L5" s="797"/>
      <c r="M5" s="797"/>
      <c r="N5" s="797"/>
      <c r="O5" s="797"/>
      <c r="P5" s="797"/>
      <c r="Q5" s="797"/>
      <c r="R5" s="797"/>
    </row>
    <row r="6" spans="1:29" ht="36">
      <c r="A6" s="2440"/>
      <c r="B6" s="323" t="s">
        <v>2259</v>
      </c>
      <c r="C6" s="2468" t="s">
        <v>2254</v>
      </c>
      <c r="D6" s="2463"/>
      <c r="E6" s="2467"/>
      <c r="F6" s="323" t="s">
        <v>2260</v>
      </c>
      <c r="G6" s="2468" t="s">
        <v>2261</v>
      </c>
      <c r="H6" s="797"/>
      <c r="I6" s="797"/>
      <c r="J6" s="797"/>
      <c r="K6" s="797"/>
      <c r="L6" s="797"/>
      <c r="M6" s="797"/>
      <c r="N6" s="797"/>
      <c r="O6" s="797"/>
      <c r="P6" s="797"/>
      <c r="Q6" s="797"/>
      <c r="R6" s="797"/>
    </row>
    <row r="7" spans="1:29" ht="24.75" thickBot="1">
      <c r="A7" s="2440"/>
      <c r="B7" s="323" t="s">
        <v>2257</v>
      </c>
      <c r="C7" s="2468" t="s">
        <v>2258</v>
      </c>
      <c r="D7" s="2469"/>
      <c r="E7" s="2470"/>
      <c r="F7" s="2471" t="s">
        <v>2262</v>
      </c>
      <c r="G7" s="2472" t="s">
        <v>2263</v>
      </c>
      <c r="H7" s="797"/>
      <c r="I7" s="797"/>
      <c r="J7" s="797"/>
      <c r="K7" s="797"/>
      <c r="L7" s="797"/>
      <c r="M7" s="797"/>
      <c r="N7" s="797"/>
      <c r="O7" s="797"/>
      <c r="P7" s="797"/>
      <c r="Q7" s="797"/>
      <c r="R7" s="797"/>
    </row>
    <row r="8" spans="1:29">
      <c r="A8" s="2440"/>
      <c r="B8" s="323" t="s">
        <v>2260</v>
      </c>
      <c r="C8" s="2468" t="s">
        <v>2261</v>
      </c>
      <c r="D8" s="2469"/>
      <c r="E8" s="2469"/>
      <c r="F8" s="2473"/>
      <c r="G8" s="2473"/>
      <c r="H8" s="797"/>
      <c r="I8" s="797"/>
      <c r="J8" s="797"/>
      <c r="K8" s="797"/>
      <c r="L8" s="797"/>
      <c r="M8" s="797"/>
      <c r="N8" s="797"/>
      <c r="O8" s="797"/>
      <c r="P8" s="797"/>
      <c r="Q8" s="797"/>
      <c r="R8" s="797"/>
    </row>
    <row r="9" spans="1:29" ht="24">
      <c r="A9" s="2440"/>
      <c r="B9" s="323" t="s">
        <v>2264</v>
      </c>
      <c r="C9" s="2466" t="s">
        <v>2265</v>
      </c>
      <c r="D9" s="2463"/>
      <c r="E9" s="2469"/>
      <c r="F9" s="2473"/>
      <c r="G9" s="2473"/>
      <c r="H9" s="797"/>
      <c r="I9" s="797"/>
      <c r="J9" s="797"/>
      <c r="K9" s="797"/>
      <c r="L9" s="797"/>
      <c r="M9" s="797"/>
      <c r="N9" s="797"/>
      <c r="O9" s="797"/>
      <c r="P9" s="797"/>
      <c r="Q9" s="797"/>
      <c r="R9" s="797"/>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7" customFormat="1" ht="15" thickBot="1">
      <c r="A23" s="2444"/>
      <c r="B23" s="2500" t="s">
        <v>2275</v>
      </c>
      <c r="C23" s="2503"/>
      <c r="D23" s="1739"/>
      <c r="E23" s="2446"/>
      <c r="F23" s="2504" t="s">
        <v>2276</v>
      </c>
      <c r="G23" s="2505"/>
      <c r="H23" s="2489"/>
      <c r="I23" s="2490"/>
      <c r="J23" s="2489"/>
      <c r="K23" s="2489"/>
      <c r="L23" s="2490"/>
      <c r="M23" s="2489"/>
      <c r="N23" s="2489"/>
      <c r="O23" s="2490"/>
      <c r="P23" s="2489"/>
      <c r="Q23" s="2489"/>
      <c r="R23" s="2491"/>
    </row>
    <row r="24" spans="1:18" s="797" customFormat="1" ht="15" thickBot="1">
      <c r="A24" s="2447"/>
      <c r="B24" s="2504" t="s">
        <v>2277</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6" sqref="F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554.57000000000005</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45085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1215</v>
      </c>
      <c r="C5" s="2510">
        <f ca="1">IF(B5=D14,结果表!H102,ROUND(B5*10000/$B$1,0))</f>
        <v>21905</v>
      </c>
      <c r="D5" s="2510" t="e">
        <f ca="1">ROUND(B5*10000/$B$2,0)</f>
        <v>#DIV/0!</v>
      </c>
      <c r="E5" s="2683"/>
      <c r="F5" s="2684"/>
      <c r="G5" s="2684"/>
      <c r="H5" s="2685"/>
      <c r="I5" s="2685"/>
      <c r="J5" s="2685"/>
      <c r="K5" s="2685"/>
    </row>
    <row r="6" spans="1:11" ht="16.5">
      <c r="A6" s="2510" t="s">
        <v>656</v>
      </c>
      <c r="B6" s="2510">
        <f ca="1">SUM(G14:G23)</f>
        <v>1215</v>
      </c>
      <c r="C6" s="2510">
        <f ca="1">IF(B6=G14,结果表!H108,ROUND(B6*10000/$B$1,0))</f>
        <v>21905</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3356</v>
      </c>
      <c r="D10" s="2510" t="s">
        <v>3357</v>
      </c>
      <c r="E10" s="3438"/>
      <c r="F10" s="3442" t="s">
        <v>3358</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554.57000000000005</v>
      </c>
      <c r="C14" s="2516"/>
      <c r="D14" s="2516">
        <f ca="1">结果表!H101</f>
        <v>1215</v>
      </c>
      <c r="E14" s="2516">
        <f ca="1">ROUND(D14*10000/B14,0)</f>
        <v>21909</v>
      </c>
      <c r="F14" s="2516" t="e">
        <f ca="1">ROUND(D14*10000/C14,0)</f>
        <v>#DIV/0!</v>
      </c>
      <c r="G14" s="2516">
        <f ca="1">结果表!H107</f>
        <v>1215</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t="s">
        <v>3380</v>
      </c>
      <c r="H1" s="1748" t="str">
        <f>IF(G1="现房","——","估价对象范围")</f>
        <v>——</v>
      </c>
      <c r="I1" s="1749"/>
    </row>
    <row r="2" spans="1:12" ht="21.75" customHeight="1" thickBot="1">
      <c r="A2" s="3624" t="str">
        <f>项目基本情况!S2</f>
        <v>北京市房山区长阳镇祥云街5号院4号楼2层201配套商业用房房地产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2" t="s">
        <v>1265</v>
      </c>
      <c r="B4" s="1753" t="s">
        <v>1266</v>
      </c>
      <c r="C4" s="1754" t="s">
        <v>3496</v>
      </c>
      <c r="D4" s="1754" t="s">
        <v>3394</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5"/>
      <c r="G5" s="1755"/>
      <c r="H5" s="1755"/>
      <c r="I5" s="1371"/>
    </row>
    <row r="6" spans="1:12" ht="12.75">
      <c r="A6" s="3572"/>
      <c r="B6" s="3627"/>
      <c r="C6" s="3632"/>
      <c r="D6" s="3618"/>
      <c r="E6" s="131" t="s">
        <v>1270</v>
      </c>
      <c r="F6" s="1755"/>
      <c r="G6" s="1755"/>
      <c r="H6" s="1755"/>
      <c r="I6" s="1371"/>
    </row>
    <row r="7" spans="1:12" ht="12.75">
      <c r="A7" s="3572"/>
      <c r="B7" s="3627"/>
      <c r="C7" s="3631"/>
      <c r="D7" s="3618"/>
      <c r="E7" s="131" t="s">
        <v>1271</v>
      </c>
      <c r="F7" s="1755"/>
      <c r="G7" s="1755"/>
      <c r="H7" s="1755"/>
      <c r="I7" s="1371"/>
    </row>
    <row r="8" spans="1:12" ht="12.75">
      <c r="A8" s="3572" t="s">
        <v>1272</v>
      </c>
      <c r="B8" s="3627">
        <v>15</v>
      </c>
      <c r="C8" s="3630"/>
      <c r="D8" s="3618"/>
      <c r="E8" s="131" t="s">
        <v>1273</v>
      </c>
      <c r="F8" s="1755"/>
      <c r="G8" s="1755"/>
      <c r="H8" s="1755"/>
      <c r="I8" s="1371"/>
    </row>
    <row r="9" spans="1:12" ht="12.75">
      <c r="A9" s="3572"/>
      <c r="B9" s="3627"/>
      <c r="C9" s="3631"/>
      <c r="D9" s="3618"/>
      <c r="E9" s="131" t="s">
        <v>1274</v>
      </c>
      <c r="F9" s="1755"/>
      <c r="G9" s="1755"/>
      <c r="H9" s="1755"/>
      <c r="I9" s="1371"/>
    </row>
    <row r="10" spans="1:12" ht="12.75">
      <c r="A10" s="3572" t="s">
        <v>1275</v>
      </c>
      <c r="B10" s="3627">
        <v>15</v>
      </c>
      <c r="C10" s="3630"/>
      <c r="D10" s="3618"/>
      <c r="E10" s="131" t="s">
        <v>1276</v>
      </c>
      <c r="F10" s="1755"/>
      <c r="G10" s="1755"/>
      <c r="H10" s="1755"/>
      <c r="I10" s="1371"/>
    </row>
    <row r="11" spans="1:12" ht="12.75">
      <c r="A11" s="3572"/>
      <c r="B11" s="3627"/>
      <c r="C11" s="3631"/>
      <c r="D11" s="3618"/>
      <c r="E11" s="131" t="s">
        <v>1277</v>
      </c>
      <c r="F11" s="1755"/>
      <c r="G11" s="1755"/>
      <c r="H11" s="1755"/>
      <c r="I11" s="1371"/>
    </row>
    <row r="12" spans="1:12" ht="12.75">
      <c r="A12" s="3572" t="s">
        <v>1278</v>
      </c>
      <c r="B12" s="3627">
        <v>15</v>
      </c>
      <c r="C12" s="3630"/>
      <c r="D12" s="3618"/>
      <c r="E12" s="131" t="s">
        <v>1279</v>
      </c>
      <c r="F12" s="1755"/>
      <c r="G12" s="1755"/>
      <c r="H12" s="1755"/>
      <c r="I12" s="1371"/>
    </row>
    <row r="13" spans="1:12" ht="12.75">
      <c r="A13" s="3572"/>
      <c r="B13" s="3627"/>
      <c r="C13" s="3631"/>
      <c r="D13" s="3618"/>
      <c r="E13" s="131" t="s">
        <v>1280</v>
      </c>
      <c r="F13" s="1755"/>
      <c r="G13" s="1755"/>
      <c r="H13" s="1755"/>
      <c r="I13" s="1371"/>
    </row>
    <row r="14" spans="1:12" ht="12.75">
      <c r="A14" s="3572" t="s">
        <v>1281</v>
      </c>
      <c r="B14" s="3627">
        <v>30</v>
      </c>
      <c r="C14" s="3630">
        <v>4</v>
      </c>
      <c r="D14" s="3618">
        <v>6</v>
      </c>
      <c r="E14" s="131" t="s">
        <v>1282</v>
      </c>
      <c r="F14" s="1755"/>
      <c r="G14" s="1755"/>
      <c r="H14" s="1755"/>
      <c r="I14" s="1371"/>
    </row>
    <row r="15" spans="1:12" ht="12.75">
      <c r="A15" s="3572"/>
      <c r="B15" s="3627"/>
      <c r="C15" s="3632"/>
      <c r="D15" s="3618"/>
      <c r="E15" s="131" t="s">
        <v>1283</v>
      </c>
      <c r="F15" s="1755"/>
      <c r="G15" s="1755"/>
      <c r="H15" s="1755"/>
      <c r="I15" s="1371"/>
    </row>
    <row r="16" spans="1:12" ht="12.75">
      <c r="A16" s="3572"/>
      <c r="B16" s="3627"/>
      <c r="C16" s="3631"/>
      <c r="D16" s="3618"/>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649" t="s">
        <v>2128</v>
      </c>
      <c r="F18" s="3650"/>
      <c r="G18" s="3650"/>
      <c r="H18" s="3650"/>
      <c r="I18" s="3650"/>
      <c r="K18" s="302" t="s">
        <v>1289</v>
      </c>
      <c r="L18" s="302">
        <f>IF(C1="",'数据-汇总表'!E3,SUMIF(项目类型,C1,'数据-汇总表'!E17:E26)+SUMIF(项目类型,C1,'数据-汇总表'!I17:I26))</f>
        <v>554.57000000000005</v>
      </c>
      <c r="M18" s="302">
        <f>IF(C1="",'数据-汇总表'!E3,SUMIF(项目类型,C1,'数据-汇总表'!E17:E26))</f>
        <v>554.57000000000005</v>
      </c>
    </row>
    <row r="19" spans="1:36" ht="15">
      <c r="A19" s="1759" t="s">
        <v>1290</v>
      </c>
      <c r="B19" s="1760" t="s">
        <v>1291</v>
      </c>
      <c r="C19" s="134">
        <f ca="1">SUMIF(INDIRECT("'"&amp;C4&amp;"'"&amp;"!A:A"),结果表!B19,INDIRECT("'"&amp;C4&amp;"'"&amp;"!B:B"))</f>
        <v>964.67499999999995</v>
      </c>
      <c r="D19" s="135">
        <f ca="1">SUMIF(INDIRECT("'"&amp;D4&amp;"'"&amp;"!A:A"),结果表!B19,INDIRECT("'"&amp;D4&amp;"'"&amp;"!B:B"))</f>
        <v>1381.5361</v>
      </c>
      <c r="E19" s="1759" t="s">
        <v>1292</v>
      </c>
      <c r="F19" s="1760" t="s">
        <v>1291</v>
      </c>
      <c r="G19" s="136">
        <f ca="1">ROUND(C19*$C$18+D19*$D$18,0)</f>
        <v>1215</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17395</v>
      </c>
      <c r="D20" s="138">
        <f ca="1">SUMIF(INDIRECT("'"&amp;D4&amp;"'"&amp;"!A:A"),结果表!B20,INDIRECT("'"&amp;D4&amp;"'"&amp;"!B:B"))</f>
        <v>24912</v>
      </c>
      <c r="E20" s="1762"/>
      <c r="F20" s="1024" t="s">
        <v>1295</v>
      </c>
      <c r="G20" s="139">
        <f ca="1">ROUND(C20*$C$18+D20*$D$18,0)</f>
        <v>21905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0.43212594915386027</v>
      </c>
      <c r="E22" s="129"/>
      <c r="F22" s="129"/>
      <c r="G22" s="3467"/>
      <c r="H22" s="129"/>
      <c r="I22" s="129"/>
    </row>
    <row r="23" spans="1:36" ht="13.5" thickBot="1">
      <c r="A23" s="1745"/>
      <c r="B23" s="1745"/>
      <c r="C23" s="1745"/>
      <c r="D23" s="1745"/>
      <c r="E23" s="129"/>
      <c r="F23" s="129"/>
      <c r="G23" s="129"/>
      <c r="H23" s="129"/>
      <c r="I23" s="129"/>
    </row>
    <row r="24" spans="1:36" ht="14.25">
      <c r="A24" s="3642" t="s">
        <v>1299</v>
      </c>
      <c r="B24" s="1760" t="s">
        <v>1291</v>
      </c>
      <c r="C24" s="136">
        <f>IF(B30=0,0,D30)</f>
        <v>0</v>
      </c>
      <c r="D24" s="1767"/>
      <c r="E24" s="129"/>
      <c r="F24" s="129"/>
      <c r="G24" s="129"/>
      <c r="H24" s="129"/>
      <c r="I24" s="129"/>
    </row>
    <row r="25" spans="1:36" ht="14.25">
      <c r="A25" s="3643"/>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21905</v>
      </c>
      <c r="D32" s="1773" t="s">
        <v>3377</v>
      </c>
      <c r="E32" s="129"/>
      <c r="F32" s="129"/>
      <c r="G32" s="129"/>
      <c r="H32" s="129"/>
      <c r="I32" s="129"/>
    </row>
    <row r="33" spans="1:15" ht="15">
      <c r="A33" s="784" t="s">
        <v>1306</v>
      </c>
      <c r="B33" s="1774"/>
      <c r="C33" s="1775" t="s">
        <v>3396</v>
      </c>
      <c r="D33" s="1776" t="s">
        <v>3394</v>
      </c>
      <c r="E33" s="1777" t="s">
        <v>1307</v>
      </c>
      <c r="F33" s="1778" t="str">
        <f>IF(D32="楼面单价","取值（单价）","取值（总价）")</f>
        <v>取值（单价）</v>
      </c>
      <c r="G33" s="129"/>
      <c r="H33" s="129"/>
      <c r="I33" s="129"/>
    </row>
    <row r="34" spans="1:15" ht="15">
      <c r="A34" s="1779"/>
      <c r="B34" s="1780" t="s">
        <v>1308</v>
      </c>
      <c r="C34" s="148">
        <f ca="1">IF(C33="自定义",F34,C32-C35)</f>
        <v>16845</v>
      </c>
      <c r="D34" s="859">
        <f ca="1">IF(C33="自定义",ROUND(C34/C32,3),IF(C33="收益比率",SUMIF(INDIRECT("'"&amp;D33&amp;"'"&amp;"!b:b"),"土地收益比率",INDIRECT("'"&amp;D33&amp;"'"&amp;"!c:c")),SUMIF(INDIRECT("'"&amp;D33&amp;"'"&amp;"!b:b"),"土地成本比率",INDIRECT("'"&amp;D33&amp;"'"&amp;"!c:c"))))</f>
        <v>0.76900000000000002</v>
      </c>
      <c r="E34" s="1781" t="s">
        <v>1309</v>
      </c>
      <c r="F34" s="1328"/>
      <c r="G34" s="129"/>
      <c r="H34" s="129"/>
      <c r="I34" s="129"/>
    </row>
    <row r="35" spans="1:15" ht="15.75" thickBot="1">
      <c r="A35" s="1782"/>
      <c r="B35" s="1783" t="s">
        <v>1310</v>
      </c>
      <c r="C35" s="1168">
        <f ca="1">IF(C33="自定义",F35,ROUND(C32*D35,0))</f>
        <v>5060</v>
      </c>
      <c r="D35" s="1169">
        <f ca="1">IF(C33="自定义",ROUND(C35/C32,3),IF(C33="收益比率",SUMIF(INDIRECT("'"&amp;D33&amp;"'"&amp;"!b:b"),"建筑物收益比率",INDIRECT("'"&amp;D33&amp;"'"&amp;"!c:c")),SUMIF(INDIRECT("'"&amp;D33&amp;"'"&amp;"!b:b"),"建筑物成本比率",INDIRECT("'"&amp;D33&amp;"'"&amp;"!c:c"))))</f>
        <v>0.23100000000000001</v>
      </c>
      <c r="E35" s="1784" t="s">
        <v>1311</v>
      </c>
      <c r="F35" s="154"/>
      <c r="G35" s="129"/>
      <c r="H35" s="129"/>
      <c r="I35" s="129"/>
    </row>
    <row r="36" spans="1:15" ht="15.75" thickBot="1">
      <c r="A36" s="3619" t="s">
        <v>1312</v>
      </c>
      <c r="B36" s="1785" t="s">
        <v>1313</v>
      </c>
      <c r="C36" s="145"/>
      <c r="D36" s="1786"/>
      <c r="E36" s="1787"/>
      <c r="F36" s="1788"/>
      <c r="G36" s="129"/>
      <c r="H36" s="129"/>
      <c r="I36" s="129"/>
    </row>
    <row r="37" spans="1:15" ht="15.75" thickBot="1">
      <c r="A37" s="3620"/>
      <c r="B37" s="1672" t="s">
        <v>1314</v>
      </c>
      <c r="C37" s="147"/>
      <c r="D37" s="1137"/>
      <c r="E37" s="1137"/>
      <c r="F37" s="1788"/>
      <c r="G37" s="129"/>
      <c r="H37" s="129"/>
      <c r="I37" s="129"/>
    </row>
    <row r="38" spans="1:15" ht="15.75" thickBot="1">
      <c r="A38" s="3621"/>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9" t="s">
        <v>1326</v>
      </c>
      <c r="B45" s="3640"/>
      <c r="C45" s="3641"/>
      <c r="D45" s="155">
        <f ca="1">ROUND(H101*F45,0)</f>
        <v>1215</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4"/>
      <c r="I46" s="159"/>
      <c r="J46" s="2521">
        <v>1</v>
      </c>
      <c r="K46" s="3560" t="s">
        <v>1331</v>
      </c>
      <c r="L46" s="3560"/>
      <c r="M46" s="3561"/>
      <c r="N46" s="3561"/>
      <c r="O46" s="3561"/>
    </row>
    <row r="47" spans="1:15" ht="12" customHeight="1">
      <c r="A47" s="160" t="s">
        <v>1332</v>
      </c>
      <c r="B47" s="161"/>
      <c r="C47" s="162"/>
      <c r="D47" s="1085" t="s">
        <v>1333</v>
      </c>
      <c r="E47" s="302" t="s">
        <v>1334</v>
      </c>
      <c r="F47" s="163" t="s">
        <v>1335</v>
      </c>
      <c r="G47" s="2544" t="s">
        <v>1336</v>
      </c>
      <c r="H47" s="2545"/>
      <c r="I47" s="159"/>
      <c r="J47" s="2521">
        <v>2</v>
      </c>
      <c r="K47" s="3560" t="s">
        <v>1337</v>
      </c>
      <c r="L47" s="3560"/>
      <c r="M47" s="3562">
        <f>'数据-取费表'!B2</f>
        <v>45085</v>
      </c>
      <c r="N47" s="3562"/>
      <c r="O47" s="3562"/>
    </row>
    <row r="48" spans="1:15" ht="25.5">
      <c r="A48" s="3622" t="s">
        <v>1338</v>
      </c>
      <c r="B48" s="3623"/>
      <c r="C48" s="3623"/>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60" t="s">
        <v>1340</v>
      </c>
      <c r="L48" s="3560"/>
      <c r="M48" s="3563">
        <f ca="1">H101</f>
        <v>1215</v>
      </c>
      <c r="N48" s="3563"/>
      <c r="O48" s="3563"/>
    </row>
    <row r="49" spans="1:35" ht="25.5" customHeight="1">
      <c r="A49" s="2331" t="s">
        <v>1341</v>
      </c>
      <c r="B49" s="3608" t="s">
        <v>1342</v>
      </c>
      <c r="C49" s="3608"/>
      <c r="D49" s="1588">
        <v>0</v>
      </c>
      <c r="E49" s="324" t="s">
        <v>1343</v>
      </c>
      <c r="F49" s="2422" t="s">
        <v>28</v>
      </c>
      <c r="G49" s="3591"/>
      <c r="H49" s="2308" t="s">
        <v>2131</v>
      </c>
      <c r="I49" s="2309"/>
      <c r="J49" s="2521">
        <v>4</v>
      </c>
      <c r="K49" s="3560" t="str">
        <f>IF(项目基本情况!E8="房地产抵押价值","房地产抵押价值","抵押担保权已注销时的房地产抵押价值")</f>
        <v>房地产抵押价值</v>
      </c>
      <c r="L49" s="3560"/>
      <c r="M49" s="3563">
        <f ca="1">IF(项目基本情况!E8="房地产抵押价值",H107,H109)</f>
        <v>1215</v>
      </c>
      <c r="N49" s="3563"/>
      <c r="O49" s="3563"/>
    </row>
    <row r="50" spans="1:35" ht="25.5" customHeight="1">
      <c r="A50" s="2549"/>
      <c r="B50" s="3608" t="s">
        <v>1344</v>
      </c>
      <c r="C50" s="3608"/>
      <c r="D50" s="2550"/>
      <c r="E50" s="332"/>
      <c r="F50" s="2422"/>
      <c r="G50" s="3592"/>
      <c r="H50" s="2310" t="s">
        <v>2132</v>
      </c>
      <c r="I50" s="2309"/>
      <c r="J50" s="3559" t="s">
        <v>1345</v>
      </c>
      <c r="K50" s="3559"/>
      <c r="L50" s="3559"/>
      <c r="M50" s="3559"/>
      <c r="N50" s="3559"/>
      <c r="O50" s="3559"/>
    </row>
    <row r="51" spans="1:35" ht="20.45" customHeight="1">
      <c r="A51" s="2551"/>
      <c r="B51" s="3608" t="s">
        <v>1346</v>
      </c>
      <c r="C51" s="3608"/>
      <c r="D51" s="1085"/>
      <c r="E51" s="327"/>
      <c r="F51" s="2422"/>
      <c r="G51" s="3593"/>
      <c r="H51" s="2310" t="s">
        <v>2133</v>
      </c>
      <c r="I51" s="2309"/>
      <c r="J51" s="2522" t="s">
        <v>1347</v>
      </c>
      <c r="K51" s="3560" t="s">
        <v>1348</v>
      </c>
      <c r="L51" s="3560"/>
      <c r="M51" s="2522" t="s">
        <v>1349</v>
      </c>
      <c r="N51" s="2522" t="s">
        <v>1350</v>
      </c>
      <c r="O51" s="2522" t="s">
        <v>1351</v>
      </c>
    </row>
    <row r="52" spans="1:35" ht="24" customHeight="1">
      <c r="A52" s="2333" t="s">
        <v>1352</v>
      </c>
      <c r="B52" s="3608" t="s">
        <v>1353</v>
      </c>
      <c r="C52" s="3608"/>
      <c r="D52" s="1085">
        <f ca="1">ROUND(D45*'数据-取费表'!B41/(1+'数据-取费表'!C42),0)</f>
        <v>64</v>
      </c>
      <c r="E52" s="2332" t="s">
        <v>1354</v>
      </c>
      <c r="F52" s="2552">
        <f>'数据-取费表'!B41</f>
        <v>5.5000000000000007E-2</v>
      </c>
      <c r="G52" s="2553"/>
      <c r="H52" s="2542"/>
      <c r="I52" s="1805"/>
      <c r="J52" s="2521">
        <v>1</v>
      </c>
      <c r="K52" s="3585" t="s">
        <v>1355</v>
      </c>
      <c r="L52" s="3585"/>
      <c r="M52" s="2523" t="b">
        <f>D48</f>
        <v>0</v>
      </c>
      <c r="N52" s="2521" t="str">
        <f>E48</f>
        <v>销售额×税（费）率</v>
      </c>
      <c r="O52" s="2524">
        <f>F48</f>
        <v>5.5000000000000007E-2</v>
      </c>
    </row>
    <row r="53" spans="1:35" ht="12" customHeight="1">
      <c r="A53" s="2333" t="s">
        <v>1356</v>
      </c>
      <c r="B53" s="3609" t="s">
        <v>2288</v>
      </c>
      <c r="C53" s="3610"/>
      <c r="D53" s="1085">
        <f ca="1">ROUND(D45*'数据-取费表'!B41/(1+'数据-取费表'!C42),0)</f>
        <v>64</v>
      </c>
      <c r="E53" s="2332" t="s">
        <v>1354</v>
      </c>
      <c r="F53" s="2552">
        <f>'数据-取费表'!B41</f>
        <v>5.5000000000000007E-2</v>
      </c>
      <c r="G53" s="2553"/>
      <c r="H53" s="2542"/>
      <c r="I53" s="1805"/>
      <c r="J53" s="2521">
        <v>2</v>
      </c>
      <c r="K53" s="3585" t="s">
        <v>1357</v>
      </c>
      <c r="L53" s="3585"/>
      <c r="M53" s="2523">
        <f t="shared" ref="M53:O54" ca="1" si="0">D55</f>
        <v>1</v>
      </c>
      <c r="N53" s="2521" t="str">
        <f t="shared" si="0"/>
        <v>销售额×税（费）率</v>
      </c>
      <c r="O53" s="2524" t="str">
        <f t="shared" si="0"/>
        <v>免征</v>
      </c>
    </row>
    <row r="54" spans="1:35" ht="12" customHeight="1">
      <c r="A54" s="2333" t="s">
        <v>1358</v>
      </c>
      <c r="B54" s="3609" t="s">
        <v>2289</v>
      </c>
      <c r="C54" s="3610"/>
      <c r="D54" s="1085">
        <f ca="1">C68</f>
        <v>64</v>
      </c>
      <c r="E54" s="327" t="s">
        <v>1359</v>
      </c>
      <c r="F54" s="2552">
        <f>'数据-取费表'!B41</f>
        <v>5.5000000000000007E-2</v>
      </c>
      <c r="G54" s="2553"/>
      <c r="H54" s="2554"/>
      <c r="I54" s="1805"/>
      <c r="J54" s="2521">
        <v>3</v>
      </c>
      <c r="K54" s="3585" t="s">
        <v>1360</v>
      </c>
      <c r="L54" s="3585"/>
      <c r="M54" s="2523">
        <f t="shared" ca="1" si="0"/>
        <v>689</v>
      </c>
      <c r="N54" s="2521" t="str">
        <f t="shared" si="0"/>
        <v>增值额×税（费）率</v>
      </c>
      <c r="O54" s="2525" t="str">
        <f t="shared" si="0"/>
        <v>免征</v>
      </c>
    </row>
    <row r="55" spans="1:35" ht="24" customHeight="1">
      <c r="A55" s="3645" t="s">
        <v>1361</v>
      </c>
      <c r="B55" s="3623"/>
      <c r="C55" s="3623"/>
      <c r="D55" s="2322">
        <f ca="1">IF(H55="个人住宅",0,ROUND(D45*I55,0))</f>
        <v>1</v>
      </c>
      <c r="E55" s="2332" t="s">
        <v>1362</v>
      </c>
      <c r="F55" s="2552" t="str">
        <f>IF(H55="正常",I55,"免征")</f>
        <v>免征</v>
      </c>
      <c r="G55" s="2553"/>
      <c r="H55" s="2548"/>
      <c r="I55" s="165">
        <f>'数据-取费表'!B49</f>
        <v>5.0000000000000001E-4</v>
      </c>
      <c r="J55" s="2521">
        <f>IF(H59="非个人房产","",4)</f>
        <v>4</v>
      </c>
      <c r="K55" s="3585" t="str">
        <f>IF(H59="非个人房产","——","个人所得税")</f>
        <v>个人所得税</v>
      </c>
      <c r="L55" s="3585"/>
      <c r="M55" s="2526">
        <f ca="1">D59</f>
        <v>12</v>
      </c>
      <c r="N55" s="2038" t="str">
        <f>E59</f>
        <v>差额计税</v>
      </c>
      <c r="O55" s="2527">
        <f>F59</f>
        <v>0.01</v>
      </c>
    </row>
    <row r="56" spans="1:35" ht="24.75">
      <c r="A56" s="3645" t="s">
        <v>1363</v>
      </c>
      <c r="B56" s="3623"/>
      <c r="C56" s="3623"/>
      <c r="D56" s="2322">
        <f ca="1">IF(H56="个人住宅",D57,D58)</f>
        <v>689</v>
      </c>
      <c r="E56" s="2332" t="s">
        <v>1364</v>
      </c>
      <c r="F56" s="2552" t="str">
        <f>IF(H56="正常",F58,"免征")</f>
        <v>免征</v>
      </c>
      <c r="G56" s="2555" t="s">
        <v>1365</v>
      </c>
      <c r="H56" s="2556"/>
      <c r="I56" s="1806"/>
      <c r="J56" s="2521" t="str">
        <f>IF(项目基本情况!K6="上海银行",IF(J55="",4,J55+1),"")</f>
        <v/>
      </c>
      <c r="K56" s="3566" t="str">
        <f>IF(项目基本情况!K6="上海银行","其他处置费用","")</f>
        <v/>
      </c>
      <c r="L56" s="3567"/>
      <c r="M56" s="2523" t="str">
        <f>IF(项目基本情况!K6="上海银行",M69,"")</f>
        <v/>
      </c>
      <c r="N56" s="3566" t="str">
        <f>IF(项目基本情况!K6="上海银行","包含处置中涉及的律师、诉讼、拍卖、评估等费用","")</f>
        <v/>
      </c>
      <c r="O56" s="3569"/>
    </row>
    <row r="57" spans="1:35" ht="12.75">
      <c r="A57" s="2333" t="s">
        <v>1341</v>
      </c>
      <c r="B57" s="3609" t="s">
        <v>1366</v>
      </c>
      <c r="C57" s="3610"/>
      <c r="D57" s="1588">
        <v>0</v>
      </c>
      <c r="E57" s="324" t="s">
        <v>1343</v>
      </c>
      <c r="F57" s="302"/>
      <c r="G57" s="2553"/>
      <c r="H57" s="2557"/>
      <c r="I57" s="1806"/>
      <c r="J57" s="3585">
        <f>IF(AND(J55="",J56=""),4,IF(项目基本情况!K6="上海银行",结果表!J56+1,结果表!J55+1))</f>
        <v>5</v>
      </c>
      <c r="K57" s="3585" t="s">
        <v>1367</v>
      </c>
      <c r="L57" s="2528" t="s">
        <v>1368</v>
      </c>
      <c r="M57" s="2529"/>
      <c r="N57" s="2530">
        <f ca="1">SUMIF(M52:M56,"&lt;9e307")</f>
        <v>702</v>
      </c>
      <c r="O57" s="2531"/>
      <c r="P57" s="2687">
        <f ca="1">N57/M49</f>
        <v>0.57777777777777772</v>
      </c>
    </row>
    <row r="58" spans="1:35" ht="24.75">
      <c r="A58" s="2333" t="s">
        <v>1352</v>
      </c>
      <c r="B58" s="3609" t="s">
        <v>1369</v>
      </c>
      <c r="C58" s="3608"/>
      <c r="D58" s="2322">
        <f ca="1">IF(H58="转让取得",C81,C97)</f>
        <v>689</v>
      </c>
      <c r="E58" s="2332" t="s">
        <v>1364</v>
      </c>
      <c r="F58" s="302" t="s">
        <v>28</v>
      </c>
      <c r="G58" s="2553"/>
      <c r="H58" s="2556"/>
      <c r="I58" s="1806"/>
      <c r="J58" s="3585"/>
      <c r="K58" s="3585"/>
      <c r="L58" s="2528" t="s">
        <v>1370</v>
      </c>
      <c r="M58" s="2532"/>
      <c r="N58" s="2533" t="str">
        <f ca="1">NUMBERSTRING(INT(N57*10000),2)&amp;"元整"</f>
        <v>柒佰零贰万元整</v>
      </c>
      <c r="O58" s="2534"/>
    </row>
    <row r="59" spans="1:35" ht="24.75" thickBot="1">
      <c r="A59" s="3589" t="s">
        <v>1371</v>
      </c>
      <c r="B59" s="3590"/>
      <c r="C59" s="3590"/>
      <c r="D59" s="2558">
        <f ca="1">IF(H59="非个人房产","——",IF(H59="个人住宅（满五唯一有凭证）",0,IF(H59="个人其他（无凭证）",ROUND(D45*F59,0),ROUND(C67*F59,0))))</f>
        <v>12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587">
        <f>J57+1</f>
        <v>6</v>
      </c>
      <c r="K59" s="3585" t="s">
        <v>1372</v>
      </c>
      <c r="L59" s="2521" t="s">
        <v>1368</v>
      </c>
      <c r="M59" s="2535"/>
      <c r="N59" s="2536">
        <f ca="1">M49-N57</f>
        <v>513</v>
      </c>
      <c r="O59" s="2537"/>
    </row>
    <row r="60" spans="1:35" ht="12" customHeight="1">
      <c r="A60" s="1807"/>
      <c r="B60" s="1745"/>
      <c r="C60" s="1745"/>
      <c r="D60" s="1745"/>
      <c r="E60" s="1576"/>
      <c r="F60" s="1806"/>
      <c r="G60" s="1806"/>
      <c r="H60" s="1808"/>
      <c r="I60" s="129"/>
      <c r="J60" s="3588"/>
      <c r="K60" s="3585"/>
      <c r="L60" s="2528" t="s">
        <v>1370</v>
      </c>
      <c r="M60" s="2532"/>
      <c r="N60" s="2533" t="str">
        <f ca="1">NUMBERSTRING(INT(N59*10000),2)&amp;"元整"</f>
        <v>伍佰壹拾叁万元整</v>
      </c>
      <c r="O60" s="2534"/>
    </row>
    <row r="61" spans="1:35" ht="13.5" thickBot="1">
      <c r="A61" s="3644" t="s">
        <v>1373</v>
      </c>
      <c r="B61" s="3644"/>
      <c r="C61" s="3644"/>
      <c r="D61" s="3644"/>
      <c r="E61" s="3644"/>
      <c r="F61" s="1806"/>
      <c r="G61" s="1806"/>
      <c r="H61" s="1808"/>
      <c r="I61" s="129"/>
      <c r="J61" s="2521">
        <f>J59+1</f>
        <v>7</v>
      </c>
      <c r="K61" s="3585" t="s">
        <v>1374</v>
      </c>
      <c r="L61" s="3585"/>
      <c r="M61" s="2538"/>
      <c r="N61" s="2539">
        <f ca="1">ROUND(N59*10000/'数据-汇总表'!E3,0)</f>
        <v>9250</v>
      </c>
      <c r="O61" s="2540"/>
    </row>
    <row r="62" spans="1:35" ht="12.75">
      <c r="A62" s="3604" t="s">
        <v>1375</v>
      </c>
      <c r="B62" s="3605"/>
      <c r="C62" s="2019"/>
      <c r="D62" s="2019" t="s">
        <v>1376</v>
      </c>
      <c r="E62" s="166" t="s">
        <v>1377</v>
      </c>
      <c r="F62" s="1806"/>
      <c r="G62" s="1806"/>
      <c r="H62" s="1808"/>
      <c r="I62" s="129"/>
    </row>
    <row r="63" spans="1:35" ht="12.75">
      <c r="A63" s="173" t="s">
        <v>330</v>
      </c>
      <c r="B63" s="167" t="s">
        <v>1378</v>
      </c>
      <c r="C63" s="2562">
        <f ca="1">ROUND((C64+C65)/(1+'数据-取费表'!C42),0)</f>
        <v>1157</v>
      </c>
      <c r="D63" s="167"/>
      <c r="E63" s="168"/>
      <c r="F63" s="1806"/>
      <c r="G63" s="1806"/>
      <c r="H63" s="1808"/>
      <c r="I63" s="129"/>
      <c r="J63" s="3568" t="s">
        <v>1379</v>
      </c>
      <c r="K63" s="1330" t="s">
        <v>1380</v>
      </c>
      <c r="L63" s="1330">
        <f ca="1">IF(M49&gt;10000,M49*0.5%,IF(AND(M49&gt;1000,M49&lt;=10000),M49*1%,IF(AND(M49&gt;100,M49&lt;=1000),M49*3%,IF(AND(M49&gt;10,M49&lt;=100),M49*5%,M49*8%))))</f>
        <v>12.15</v>
      </c>
      <c r="M63" s="302">
        <f ca="1">ROUND(L63,1)</f>
        <v>12.2</v>
      </c>
      <c r="N63" s="2541"/>
      <c r="Z63" s="1750"/>
      <c r="AI63" s="1751"/>
    </row>
    <row r="64" spans="1:35" ht="14.25" customHeight="1">
      <c r="A64" s="169" t="s">
        <v>325</v>
      </c>
      <c r="B64" s="170" t="s">
        <v>1381</v>
      </c>
      <c r="C64" s="2563">
        <f ca="1">D45</f>
        <v>1215</v>
      </c>
      <c r="D64" s="170" t="s">
        <v>26</v>
      </c>
      <c r="E64" s="172"/>
      <c r="F64" s="1806"/>
      <c r="G64" s="1806"/>
      <c r="H64" s="1808"/>
      <c r="I64" s="129"/>
      <c r="J64" s="3568"/>
      <c r="K64" s="1330" t="s">
        <v>1382</v>
      </c>
      <c r="L64" s="1330">
        <f ca="1">IF(M49&gt;2000,M49*0.5%,IF(AND(M49&gt;1000,M49&lt;=2000),M49*0.6%,IF(AND(M49&gt;500,M49&lt;=1000),M49*0.7%,IF(AND(M49&gt;200,M49&lt;=500),M49*0.8%,IF(AND(M49&gt;100,M49&lt;=200),M49*0.9%,IF(AND(M49&gt;50,M49&lt;=100),M49*1%,IF(AND(M49&gt;20,M49&lt;=50),M49*1.5%,IF(AND(M49&gt;10,M49&lt;=20),M49*2%,IF(AND(M49&gt;1,M49&lt;=10),M49*2.5%)))))))))</f>
        <v>7.29</v>
      </c>
      <c r="M64" s="302">
        <f t="shared" ref="M64:M65" ca="1" si="1">ROUND(L64,1)</f>
        <v>7.3</v>
      </c>
      <c r="N64" s="2542" t="s">
        <v>1383</v>
      </c>
      <c r="Z64" s="1750"/>
      <c r="AI64" s="1751"/>
    </row>
    <row r="65" spans="1:35" ht="14.25" customHeight="1">
      <c r="A65" s="169" t="s">
        <v>326</v>
      </c>
      <c r="B65" s="170" t="s">
        <v>1384</v>
      </c>
      <c r="C65" s="2564"/>
      <c r="D65" s="170"/>
      <c r="E65" s="172"/>
      <c r="F65" s="1806"/>
      <c r="G65" s="1806"/>
      <c r="H65" s="1808"/>
      <c r="I65" s="129"/>
      <c r="J65" s="3568"/>
      <c r="K65" s="1330" t="s">
        <v>1385</v>
      </c>
      <c r="L65" s="1330">
        <f ca="1">IF(M49&gt;1000,M49*0.1%,IF(AND(M49&gt;500,M49&lt;=1000),M49*0.5%,IF(AND(M49&gt;50,M49&lt;=500),M49*1%,IF(AND(M49&gt;1,M49&lt;=50),M49*1.5%))))</f>
        <v>1.2150000000000001</v>
      </c>
      <c r="M65" s="302">
        <f t="shared" ca="1" si="1"/>
        <v>1.2</v>
      </c>
      <c r="N65" s="2542" t="s">
        <v>1383</v>
      </c>
      <c r="Z65" s="1750"/>
      <c r="AI65" s="1751"/>
    </row>
    <row r="66" spans="1:35" ht="14.25" customHeight="1">
      <c r="A66" s="173" t="s">
        <v>327</v>
      </c>
      <c r="B66" s="174" t="s">
        <v>1386</v>
      </c>
      <c r="C66" s="2565"/>
      <c r="D66" s="174" t="s">
        <v>26</v>
      </c>
      <c r="E66" s="1336" t="s">
        <v>671</v>
      </c>
      <c r="F66" s="1806"/>
      <c r="G66" s="1806"/>
      <c r="H66" s="1808"/>
      <c r="I66" s="129"/>
      <c r="J66" s="3568"/>
      <c r="K66" s="1330" t="s">
        <v>1387</v>
      </c>
      <c r="L66" s="1330">
        <f ca="1">M49*0.5%</f>
        <v>6.0750000000000002</v>
      </c>
      <c r="M66" s="302">
        <f ca="1">IF(L66&gt;0.5,0.5,ROUND(L66,0))</f>
        <v>0.5</v>
      </c>
      <c r="N66" s="2542" t="s">
        <v>1388</v>
      </c>
      <c r="Z66" s="1750"/>
      <c r="AI66" s="1751"/>
    </row>
    <row r="67" spans="1:35" ht="14.25" customHeight="1">
      <c r="A67" s="173" t="s">
        <v>328</v>
      </c>
      <c r="B67" s="174" t="s">
        <v>1389</v>
      </c>
      <c r="C67" s="2566">
        <f ca="1">C63-C66</f>
        <v>1157</v>
      </c>
      <c r="D67" s="170" t="s">
        <v>26</v>
      </c>
      <c r="E67" s="172"/>
      <c r="F67" s="1806"/>
      <c r="G67" s="1806"/>
      <c r="H67" s="1808"/>
      <c r="I67" s="129"/>
      <c r="J67" s="3568"/>
      <c r="K67" s="1330" t="s">
        <v>1390</v>
      </c>
      <c r="L67" s="1330">
        <f ca="1">IF(M49&gt;=10000,(8.25+(M49-10000)*0.01%),IF(AND(M49&gt;=8000,M49&lt;10000),(7.85+(M49-8000)*0.02%),IF(AND(M49&gt;=5000,M49&lt;8000),(6.65+(M49-5000)*0.04%),IF(AND(M49&gt;=2000,M49&lt;5000),(4.25+(PM49-2000)*0.08%),IF(AND(M49&gt;=1000,M49&lt;2000),(2.75+(M49-1000)*0.15%),IF(AND(M49&gt;=100,M49&lt;1000),(0.5+(M49-100)*0.25%),IF(AND(M49&gt;0,M49&lt;100),M49*0.5%)))))))</f>
        <v>3.0724999999999998</v>
      </c>
      <c r="M67" s="302">
        <f ca="1">ROUND(L67*0.9,1)</f>
        <v>2.8</v>
      </c>
      <c r="N67" s="2541"/>
      <c r="Z67" s="1750"/>
      <c r="AI67" s="1751"/>
    </row>
    <row r="68" spans="1:35" ht="14.25" customHeight="1" thickBot="1">
      <c r="A68" s="176" t="s">
        <v>329</v>
      </c>
      <c r="B68" s="177" t="s">
        <v>1391</v>
      </c>
      <c r="C68" s="2567">
        <f ca="1">IF(C67&lt;=0,0,ROUND(C67*D68,0))</f>
        <v>64</v>
      </c>
      <c r="D68" s="2568">
        <f>'数据-取费表'!B41</f>
        <v>5.5000000000000007E-2</v>
      </c>
      <c r="E68" s="178"/>
      <c r="F68" s="1806"/>
      <c r="G68" s="1806"/>
      <c r="H68" s="1808"/>
      <c r="I68" s="129"/>
      <c r="J68" s="3568"/>
      <c r="K68" s="1330" t="s">
        <v>1392</v>
      </c>
      <c r="L68" s="1330">
        <f ca="1">IF(M49&gt;10000,M49*0.5%,IF(AND(M49&gt;5000,M49&lt;=10000),M49*1%,IF(AND(M49&gt;1000,M49&lt;=5000),M49*2%,IF(AND(M49&gt;200,M49&lt;=1000),M49*3%,M49*5%))))</f>
        <v>24.3</v>
      </c>
      <c r="M68" s="302">
        <f ca="1">ROUND(L68,1)</f>
        <v>24.3</v>
      </c>
      <c r="N68" s="2541"/>
      <c r="Z68" s="1750"/>
      <c r="AI68" s="1751"/>
    </row>
    <row r="69" spans="1:35" s="1770" customFormat="1" ht="16.5" customHeight="1">
      <c r="A69" s="1809"/>
      <c r="B69" s="1810"/>
      <c r="C69" s="1811"/>
      <c r="D69" s="1812"/>
      <c r="E69" s="1813"/>
      <c r="F69" s="1576"/>
      <c r="G69" s="1576"/>
      <c r="H69" s="1575"/>
      <c r="I69" s="1745"/>
      <c r="J69" s="3568"/>
      <c r="K69" s="1330" t="s">
        <v>1393</v>
      </c>
      <c r="L69" s="1330"/>
      <c r="M69" s="302">
        <f ca="1">ROUND(SUM(M63:M68),0)</f>
        <v>48</v>
      </c>
      <c r="N69" s="2543">
        <f ca="1">M69/M49</f>
        <v>3.9506172839506172E-2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2" t="s">
        <v>1394</v>
      </c>
      <c r="B70" s="3613"/>
      <c r="C70" s="3613"/>
      <c r="D70" s="3613"/>
      <c r="E70" s="3613"/>
      <c r="F70" s="3613"/>
      <c r="G70" s="3613"/>
      <c r="H70" s="3613"/>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4" t="s">
        <v>1375</v>
      </c>
      <c r="B71" s="3605"/>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1157</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9" t="s">
        <v>1402</v>
      </c>
      <c r="F76" s="3608"/>
      <c r="G76" s="3608"/>
      <c r="H76" s="361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5.000000000000001E-3</v>
      </c>
      <c r="E78" s="3601" t="s">
        <v>1406</v>
      </c>
      <c r="F78" s="3602"/>
      <c r="G78" s="3602"/>
      <c r="H78" s="360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1151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191.83333333333334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689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2" t="s">
        <v>1410</v>
      </c>
      <c r="B83" s="3613"/>
      <c r="C83" s="3613"/>
      <c r="D83" s="3613"/>
      <c r="E83" s="3613"/>
      <c r="F83" s="3613"/>
      <c r="G83" s="3613"/>
      <c r="H83" s="361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4" t="s">
        <v>1375</v>
      </c>
      <c r="B84" s="360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1157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70" t="s">
        <v>2126</v>
      </c>
      <c r="H90" s="3571"/>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01" t="s">
        <v>1419</v>
      </c>
      <c r="F91" s="3602"/>
      <c r="G91" s="360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01" t="s">
        <v>1422</v>
      </c>
      <c r="F92" s="3602"/>
      <c r="G92" s="3602"/>
      <c r="H92" s="3603"/>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5.000000000000001E-3</v>
      </c>
      <c r="E93" s="3601" t="s">
        <v>1406</v>
      </c>
      <c r="F93" s="3602"/>
      <c r="G93" s="3602"/>
      <c r="H93" s="360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6" t="s">
        <v>1426</v>
      </c>
      <c r="F94" s="3647"/>
      <c r="G94" s="3647"/>
      <c r="H94" s="36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1151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191.83333333333334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689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3" t="str">
        <f>C4</f>
        <v>成本法 (元)</v>
      </c>
      <c r="D101" s="2584" t="str">
        <f>D4</f>
        <v>收益法 (元)</v>
      </c>
      <c r="E101" s="3564" t="s">
        <v>1431</v>
      </c>
      <c r="F101" s="3565"/>
      <c r="G101" s="1825" t="s">
        <v>1432</v>
      </c>
      <c r="H101" s="2593">
        <f ca="1">H118</f>
        <v>1215</v>
      </c>
      <c r="I101" s="3467">
        <f ca="1">H102*'数据-汇总表'!F19</f>
        <v>12147855.850000001</v>
      </c>
    </row>
    <row r="102" spans="1:35" ht="18.75" customHeight="1">
      <c r="A102" s="3596" t="s">
        <v>1433</v>
      </c>
      <c r="B102" s="2582" t="s">
        <v>1432</v>
      </c>
      <c r="C102" s="2583">
        <f ca="1">IF(D32="楼面单价",ROUND(C19,0),C19)</f>
        <v>965</v>
      </c>
      <c r="D102" s="2584">
        <f ca="1">IF(D32="楼面单价",ROUND(D19,0),D19)</f>
        <v>1382</v>
      </c>
      <c r="E102" s="3564"/>
      <c r="F102" s="3565"/>
      <c r="G102" s="1825" t="s">
        <v>1434</v>
      </c>
      <c r="H102" s="2553">
        <f ca="1">I118</f>
        <v>21905</v>
      </c>
      <c r="I102" s="129"/>
    </row>
    <row r="103" spans="1:35" ht="42.75" customHeight="1">
      <c r="A103" s="3596"/>
      <c r="B103" s="2582" t="s">
        <v>1434</v>
      </c>
      <c r="C103" s="2585">
        <f ca="1">C20</f>
        <v>17395</v>
      </c>
      <c r="D103" s="2586">
        <f ca="1">D20</f>
        <v>24912</v>
      </c>
      <c r="E103" s="3557" t="s">
        <v>1435</v>
      </c>
      <c r="F103" s="3558"/>
      <c r="G103" s="1826" t="s">
        <v>1436</v>
      </c>
      <c r="H103" s="2593">
        <f>IF(D36="正常操作",H104+H105+H106,H105+H106)</f>
        <v>0</v>
      </c>
      <c r="I103" s="129"/>
    </row>
    <row r="104" spans="1:35" ht="18.75" customHeight="1">
      <c r="A104" s="3596" t="s">
        <v>1437</v>
      </c>
      <c r="B104" s="2587" t="s">
        <v>1432</v>
      </c>
      <c r="C104" s="2588">
        <f ca="1">H118</f>
        <v>1215</v>
      </c>
      <c r="D104" s="2589"/>
      <c r="E104" s="1672" t="s">
        <v>1438</v>
      </c>
      <c r="F104" s="1664"/>
      <c r="G104" s="1826" t="s">
        <v>1436</v>
      </c>
      <c r="H104" s="2594">
        <f>IF(D36="同一抵押权人同一抵押物续贷",C36&amp;"（续贷，未扣减，详见特别提示）",C36)</f>
        <v>0</v>
      </c>
      <c r="I104" s="129"/>
    </row>
    <row r="105" spans="1:35" ht="18.75" customHeight="1" thickBot="1">
      <c r="A105" s="3606"/>
      <c r="B105" s="2590" t="s">
        <v>1434</v>
      </c>
      <c r="C105" s="2591">
        <f ca="1">I118</f>
        <v>21905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7" t="str">
        <f>IF(项目基本情况!E8="已注销","——","3.房地产抵押价值")</f>
        <v>3.房地产抵押价值</v>
      </c>
      <c r="F107" s="3565"/>
      <c r="G107" s="1825" t="s">
        <v>1432</v>
      </c>
      <c r="H107" s="2593">
        <f ca="1">IF(E107="——","——",H101-H103)</f>
        <v>1215</v>
      </c>
      <c r="I107" s="129"/>
    </row>
    <row r="108" spans="1:35" ht="18.75" customHeight="1">
      <c r="A108" s="129"/>
      <c r="B108" s="129"/>
      <c r="C108" s="129"/>
      <c r="D108" s="129"/>
      <c r="E108" s="3597"/>
      <c r="F108" s="3565"/>
      <c r="G108" s="1825" t="s">
        <v>1434</v>
      </c>
      <c r="H108" s="2553">
        <f ca="1">IF(H107=H101,H102,ROUND(H107*10000/'数据-汇总表'!E3,0))</f>
        <v>21905</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5" t="s">
        <v>1432</v>
      </c>
      <c r="H109" s="2596" t="str">
        <f>IF(E109="——","——",H101-H105-H106)</f>
        <v>——</v>
      </c>
      <c r="I109" s="129"/>
    </row>
    <row r="110" spans="1:35" ht="18.75" customHeight="1">
      <c r="A110" s="129"/>
      <c r="B110" s="129"/>
      <c r="C110" s="129"/>
      <c r="D110" s="129"/>
      <c r="E110" s="3597"/>
      <c r="F110" s="3565"/>
      <c r="G110" s="1825" t="s">
        <v>1434</v>
      </c>
      <c r="H110" s="2553"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5" t="s">
        <v>1432</v>
      </c>
      <c r="H111" s="2593" t="str">
        <f>IF(E111="——","——",N59)</f>
        <v>——</v>
      </c>
      <c r="I111" s="129"/>
    </row>
    <row r="112" spans="1:35" ht="18.75" customHeight="1" thickBot="1">
      <c r="A112" s="129"/>
      <c r="B112" s="129"/>
      <c r="C112" s="129"/>
      <c r="D112" s="129"/>
      <c r="E112" s="3599"/>
      <c r="F112" s="3600"/>
      <c r="G112" s="1828" t="s">
        <v>1434</v>
      </c>
      <c r="H112" s="2597" t="str">
        <f>IF(E111="——","——",N61)</f>
        <v>——</v>
      </c>
      <c r="I112" s="129"/>
    </row>
    <row r="113" spans="1:27" ht="18.75" customHeight="1">
      <c r="A113" s="129"/>
      <c r="B113" s="129"/>
      <c r="C113" s="129"/>
      <c r="D113" s="129"/>
      <c r="E113" s="3607" t="s">
        <v>1440</v>
      </c>
      <c r="F113" s="3607"/>
      <c r="G113" s="3607"/>
      <c r="H113" s="3607"/>
      <c r="I113" s="129"/>
    </row>
    <row r="114" spans="1:27" ht="3.75" customHeight="1">
      <c r="A114" s="1745"/>
      <c r="B114" s="1745"/>
      <c r="C114" s="1745"/>
      <c r="D114" s="1745"/>
      <c r="E114" s="1807"/>
      <c r="F114" s="1807"/>
      <c r="G114" s="1807"/>
      <c r="H114" s="1807"/>
      <c r="I114" s="1745"/>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7" t="s">
        <v>1449</v>
      </c>
      <c r="E117" s="2327" t="s">
        <v>1450</v>
      </c>
      <c r="F117" s="2327" t="s">
        <v>1449</v>
      </c>
      <c r="G117" s="2327" t="s">
        <v>1451</v>
      </c>
      <c r="H117" s="2327" t="s">
        <v>1449</v>
      </c>
      <c r="I117" s="2327" t="s">
        <v>1451</v>
      </c>
    </row>
    <row r="118" spans="1:27" ht="24.75" customHeight="1">
      <c r="A118" s="2598" t="str">
        <f>项目基本情况!S2</f>
        <v>北京市房山区长阳镇祥云街5号院4号楼2层201配套商业用房房地产</v>
      </c>
      <c r="B118" s="2327">
        <f>M18</f>
        <v>554.57000000000005</v>
      </c>
      <c r="C118" s="2327">
        <f>M19</f>
        <v>0</v>
      </c>
      <c r="D118" s="2327">
        <f ca="1">ROUND(IF(D32="总价",C34,E118*B118/10000),0)</f>
        <v>934</v>
      </c>
      <c r="E118" s="2327">
        <f ca="1">ROUND(IF(C33="自定义",IF(D32="楼面单价",C34,D118*10000/B118),I118-G118),0)</f>
        <v>16845</v>
      </c>
      <c r="F118" s="2327">
        <f ca="1">ROUND(IF(D32="总价",C35,G118*B118/10000),0)</f>
        <v>281</v>
      </c>
      <c r="G118" s="2327">
        <f ca="1">ROUND(IF(D32="楼面单价",C35,F118*10000/B118),0)</f>
        <v>5060</v>
      </c>
      <c r="H118" s="2327">
        <f ca="1">ROUND(IF(D32="总价",C32,I118*B118/10000),0)</f>
        <v>1215</v>
      </c>
      <c r="I118" s="2327">
        <f ca="1">ROUND(IF(D32="楼面单价",C32,H118*10000/B118),0)</f>
        <v>21905</v>
      </c>
    </row>
    <row r="119" spans="1:27" ht="18.75" customHeight="1">
      <c r="A119" s="3572" t="s">
        <v>1452</v>
      </c>
      <c r="B119" s="3572"/>
      <c r="C119" s="3572"/>
      <c r="D119" s="3578" t="str">
        <f ca="1">NUMBERSTRING(INT(D118*10000),2)&amp;"元整"</f>
        <v>玖佰叁拾肆万元整</v>
      </c>
      <c r="E119" s="3579"/>
      <c r="F119" s="3578" t="str">
        <f ca="1">NUMBERSTRING(INT(F118*10000),2)&amp;"元整"</f>
        <v>贰佰捌拾壹万元整</v>
      </c>
      <c r="G119" s="3579"/>
      <c r="H119" s="3578" t="str">
        <f ca="1">NUMBERSTRING(INT(H118*10000),2)&amp;"元整"</f>
        <v>壹仟贰佰壹拾伍万元整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8" t="s">
        <v>1452</v>
      </c>
      <c r="B121" s="3580"/>
      <c r="C121" s="3579"/>
      <c r="D121" s="3578" t="str">
        <f>IF(D120=0,"零元整",NUMBERSTRING(INT(D120*10000),2)&amp;"元整")</f>
        <v>零元整</v>
      </c>
      <c r="E121" s="3580"/>
      <c r="F121" s="3580"/>
      <c r="G121" s="3580"/>
      <c r="H121" s="3580"/>
      <c r="I121" s="3579"/>
      <c r="AA121" s="723"/>
    </row>
    <row r="122" spans="1:27" ht="18.75" customHeight="1">
      <c r="A122" s="3584" t="str">
        <f>IF(项目基本情况!B9="房地产市场价值","",MID(E107,3,LEN(E107)-2))</f>
        <v>房地产抵押价值</v>
      </c>
      <c r="B122" s="3584"/>
      <c r="C122" s="3584"/>
      <c r="D122" s="3573">
        <f ca="1">H107</f>
        <v>1215</v>
      </c>
      <c r="E122" s="3574"/>
      <c r="F122" s="3574"/>
      <c r="G122" s="3574"/>
      <c r="H122" s="3574"/>
      <c r="I122" s="3575"/>
      <c r="AA122" s="723"/>
    </row>
    <row r="123" spans="1:27" ht="18.75" customHeight="1">
      <c r="A123" s="3572" t="s">
        <v>1452</v>
      </c>
      <c r="B123" s="3572"/>
      <c r="C123" s="3572"/>
      <c r="D123" s="3578" t="str">
        <f ca="1">NUMBERSTRING(INT(D122*10000),2)&amp;"元整"</f>
        <v>壹仟贰佰壹拾伍万元整</v>
      </c>
      <c r="E123" s="3580"/>
      <c r="F123" s="3580"/>
      <c r="G123" s="3580"/>
      <c r="H123" s="3580"/>
      <c r="I123" s="3579"/>
      <c r="AA123" s="723"/>
    </row>
    <row r="124" spans="1:27" ht="18.75" customHeight="1">
      <c r="A124" s="3584" t="str">
        <f>IF(项目基本情况!B9="房地产市场价值","",MID(E109,3,LEN(E109)-2))</f>
        <v/>
      </c>
      <c r="B124" s="3584"/>
      <c r="C124" s="3584"/>
      <c r="D124" s="3573" t="str">
        <f>H109</f>
        <v>——</v>
      </c>
      <c r="E124" s="3574"/>
      <c r="F124" s="3574"/>
      <c r="G124" s="3574"/>
      <c r="H124" s="3574"/>
      <c r="I124" s="3575"/>
      <c r="AA124" s="723"/>
    </row>
    <row r="125" spans="1:27" ht="18.75" customHeight="1">
      <c r="A125" s="3572" t="s">
        <v>1452</v>
      </c>
      <c r="B125" s="3572"/>
      <c r="C125" s="3572"/>
      <c r="D125" s="3578" t="e">
        <f>NUMBERSTRING(INT(D124*10000),2)&amp;"元整"</f>
        <v>#VALUE!</v>
      </c>
      <c r="E125" s="3580"/>
      <c r="F125" s="3580"/>
      <c r="G125" s="3580"/>
      <c r="H125" s="3580"/>
      <c r="I125" s="3579"/>
      <c r="AA125" s="723"/>
    </row>
    <row r="126" spans="1:27" ht="18.75" customHeight="1">
      <c r="A126" s="3584" t="str">
        <f>IF(项目基本情况!B9="房地产市场价值","",MID(E111,3,LEN(E111)-2))</f>
        <v/>
      </c>
      <c r="B126" s="3584"/>
      <c r="C126" s="3584"/>
      <c r="D126" s="3573" t="str">
        <f>H111</f>
        <v>——</v>
      </c>
      <c r="E126" s="3574"/>
      <c r="F126" s="3574"/>
      <c r="G126" s="3574"/>
      <c r="H126" s="3574"/>
      <c r="I126" s="3575"/>
      <c r="AA126" s="723"/>
    </row>
    <row r="127" spans="1:27" ht="18.75" customHeight="1">
      <c r="A127" s="3572" t="s">
        <v>1452</v>
      </c>
      <c r="B127" s="3572"/>
      <c r="C127" s="3572"/>
      <c r="D127" s="3578" t="e">
        <f>NUMBERSTRING(INT(D126*10000),2)&amp;"元整"</f>
        <v>#VALUE!</v>
      </c>
      <c r="E127" s="3580"/>
      <c r="F127" s="3580"/>
      <c r="G127" s="3580"/>
      <c r="H127" s="3580"/>
      <c r="I127" s="3579"/>
      <c r="AA127" s="723"/>
    </row>
    <row r="128" spans="1:27" ht="21.75" customHeight="1">
      <c r="A128" s="3581" t="s">
        <v>1453</v>
      </c>
      <c r="B128" s="3581"/>
      <c r="C128" s="3581"/>
      <c r="D128" s="3581"/>
      <c r="E128" s="3581"/>
      <c r="F128" s="3581"/>
      <c r="G128" s="3581"/>
      <c r="H128" s="3581"/>
      <c r="I128" s="358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262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4724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11.0914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11.0914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11</v>
      </c>
      <c r="D10" s="843">
        <f ca="1">IF(B1="",'数据-汇总表'!E6,IF(INDIRECT("'数据-取费表'!c"&amp;$G$1)="住宅",INDIRECT("'数据-取费表'!s"&amp;$G$1),INDIRECT("'数据-取费表'!k"&amp;$G$1)+INDIRECT("'数据-取费表'!s"&amp;$G$1)))</f>
        <v>554.57000000000005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11</v>
      </c>
      <c r="D19" s="847">
        <f ca="1">D9+D10</f>
        <v>554.57000000000005</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3</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194</v>
      </c>
      <c r="D34" s="217"/>
      <c r="E34" s="220"/>
      <c r="F34" s="257">
        <f ca="1">IF('数据-取费表'!B24=0,1,IF(B1="",'数据-取费表'!N16,INDIRECT("'数据-取费表'!n"&amp;$G$1)))</f>
        <v>1</v>
      </c>
      <c r="G34" s="219" t="s">
        <v>1526</v>
      </c>
    </row>
    <row r="35" spans="1:7" ht="13.5" customHeight="1">
      <c r="A35" s="778" t="s">
        <v>351</v>
      </c>
      <c r="B35" s="215" t="s">
        <v>1527</v>
      </c>
      <c r="C35" s="220">
        <f ca="1">ROUND(C34*F35,0)</f>
        <v>6</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11</v>
      </c>
      <c r="D37" s="217">
        <f ca="1">D19</f>
        <v>554.57000000000005</v>
      </c>
      <c r="E37" s="249">
        <f>'数据-取费表'!B35</f>
        <v>200</v>
      </c>
      <c r="F37" s="259"/>
      <c r="G37" s="261" t="s">
        <v>1532</v>
      </c>
    </row>
    <row r="38" spans="1:7" ht="13.5" customHeight="1">
      <c r="A38" s="778"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9</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9</v>
      </c>
      <c r="D42" s="238"/>
      <c r="E42" s="238"/>
      <c r="F42" s="239"/>
      <c r="G42" s="3651" t="s">
        <v>1544</v>
      </c>
    </row>
    <row r="43" spans="1:7" ht="13.5" customHeight="1">
      <c r="A43" s="778" t="s">
        <v>347</v>
      </c>
      <c r="B43" s="215" t="s">
        <v>1545</v>
      </c>
      <c r="C43" s="238">
        <f ca="1">ROUND(IF('数据-取费表'!B22&lt;=1,C39*F22*'数据-取费表'!B21/2,C39*(POWER((1+F22),'数据-取费表'!B21/2)-1)),0)</f>
        <v>0</v>
      </c>
      <c r="D43" s="238"/>
      <c r="E43" s="238"/>
      <c r="F43" s="239"/>
      <c r="G43" s="3652"/>
    </row>
    <row r="44" spans="1:7" ht="13.5" customHeight="1">
      <c r="A44" s="778" t="s">
        <v>348</v>
      </c>
      <c r="B44" s="215" t="s">
        <v>1546</v>
      </c>
      <c r="C44" s="238">
        <f ca="1">ROUND(IF('数据-取费表'!B22&lt;=1,C40*F22*'数据-取费表'!B21/2,C40*(POWER((1+F22),'数据-取费表'!B21/2)-1)),4)</f>
        <v>8.0000000000000004E-4</v>
      </c>
      <c r="D44" s="238"/>
      <c r="E44" s="238"/>
      <c r="F44" s="239"/>
      <c r="G44" s="3653"/>
    </row>
    <row r="45" spans="1:7" s="214" customFormat="1" ht="13.5" customHeight="1">
      <c r="A45" s="255" t="s">
        <v>1547</v>
      </c>
      <c r="B45" s="244" t="s">
        <v>1513</v>
      </c>
      <c r="C45" s="245">
        <f ca="1">C46</f>
        <v>33</v>
      </c>
      <c r="D45" s="235">
        <f ca="1">C47</f>
        <v>3.0000000000000001E-3</v>
      </c>
      <c r="E45" s="236" t="s">
        <v>1539</v>
      </c>
      <c r="F45" s="246">
        <f ca="1">F27</f>
        <v>0.15</v>
      </c>
      <c r="G45" s="247" t="s">
        <v>1548</v>
      </c>
    </row>
    <row r="46" spans="1:7" s="214" customFormat="1" ht="13.5" customHeight="1">
      <c r="A46" s="778" t="s">
        <v>346</v>
      </c>
      <c r="B46" s="248" t="s">
        <v>1549</v>
      </c>
      <c r="C46" s="249">
        <f ca="1">ROUND((C33+C39)*F27,0)</f>
        <v>33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281</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233</v>
      </c>
      <c r="D51" s="232"/>
      <c r="E51" s="232"/>
      <c r="F51" s="264"/>
      <c r="G51" s="234" t="s">
        <v>1560</v>
      </c>
    </row>
    <row r="52" spans="1:7" s="208" customFormat="1" ht="16.5" thickBot="1">
      <c r="A52" s="265" t="s">
        <v>1561</v>
      </c>
      <c r="B52" s="266"/>
      <c r="C52" s="267">
        <f ca="1">C31+C51</f>
        <v>262</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8" t="str">
        <f>项目基本情况!B1</f>
        <v>北京市房山区长阳镇祥云街5号院4号楼2层201配套商业用房房地产抵押价值预评估</v>
      </c>
      <c r="C37" s="3468"/>
      <c r="D37" s="3468"/>
      <c r="E37" s="3468"/>
      <c r="F37" s="3468"/>
      <c r="G37" s="3468"/>
      <c r="H37" s="3468"/>
      <c r="I37" s="346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90" zoomScaleNormal="70" zoomScaleSheetLayoutView="90" workbookViewId="0">
      <selection activeCell="E15" sqref="E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3491</v>
      </c>
      <c r="E1" s="3423" t="s">
        <v>3397</v>
      </c>
      <c r="F1" s="1877" t="s">
        <v>3398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1699.5907</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30647</v>
      </c>
      <c r="C3" s="354" t="s">
        <v>1768</v>
      </c>
      <c r="D3" s="353">
        <f>IF(D1="",'数据-汇总表'!E3,SUMIF('数据-汇总表'!$C19:$C33,D1,'数据-汇总表'!$E19:$E33))</f>
        <v>554.57000000000005</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73" t="s">
        <v>1770</v>
      </c>
      <c r="D4" s="3674"/>
      <c r="E4" s="3675" t="s">
        <v>1771</v>
      </c>
      <c r="F4" s="3676"/>
      <c r="G4" s="3673" t="s">
        <v>1772</v>
      </c>
      <c r="H4" s="3674"/>
      <c r="I4" s="3673" t="s">
        <v>1773</v>
      </c>
      <c r="J4" s="3674"/>
      <c r="K4" s="559" t="s">
        <v>1774</v>
      </c>
      <c r="L4" s="2712"/>
      <c r="M4" s="2713"/>
      <c r="N4" s="2713"/>
      <c r="O4" s="2713"/>
      <c r="P4" s="3677" t="s">
        <v>1775</v>
      </c>
      <c r="Q4" s="3678"/>
      <c r="R4" s="3660" t="s">
        <v>1771</v>
      </c>
      <c r="S4" s="3661"/>
      <c r="T4" s="3660" t="s">
        <v>1772</v>
      </c>
      <c r="U4" s="3661"/>
      <c r="V4" s="3657" t="s">
        <v>1773</v>
      </c>
      <c r="W4" s="3657"/>
      <c r="X4" s="1353"/>
      <c r="Y4" s="3660" t="s">
        <v>1775</v>
      </c>
      <c r="Z4" s="3661"/>
      <c r="AA4" s="3654" t="s">
        <v>1771</v>
      </c>
      <c r="AB4" s="3657" t="s">
        <v>1772</v>
      </c>
      <c r="AC4" s="3654" t="s">
        <v>1773</v>
      </c>
    </row>
    <row r="5" spans="1:29" ht="15">
      <c r="A5" s="358"/>
      <c r="B5" s="359"/>
      <c r="C5" s="3666" t="s">
        <v>3490</v>
      </c>
      <c r="D5" s="3667"/>
      <c r="E5" s="3664" t="s">
        <v>3520</v>
      </c>
      <c r="F5" s="3665"/>
      <c r="G5" s="3666" t="s">
        <v>3516</v>
      </c>
      <c r="H5" s="3667"/>
      <c r="I5" s="3666" t="s">
        <v>3522</v>
      </c>
      <c r="J5" s="3667"/>
      <c r="K5" s="559"/>
      <c r="L5" s="2712"/>
      <c r="M5" s="2713"/>
      <c r="N5" s="2713"/>
      <c r="O5" s="2713"/>
      <c r="P5" s="3679"/>
      <c r="Q5" s="3680"/>
      <c r="R5" s="3662"/>
      <c r="S5" s="3663"/>
      <c r="T5" s="3662"/>
      <c r="U5" s="3663"/>
      <c r="V5" s="3657"/>
      <c r="W5" s="3657"/>
      <c r="X5" s="1353"/>
      <c r="Y5" s="3662"/>
      <c r="Z5" s="3663"/>
      <c r="AA5" s="3655"/>
      <c r="AB5" s="3657"/>
      <c r="AC5" s="3655"/>
    </row>
    <row r="6" spans="1:29" ht="15.75" thickBot="1">
      <c r="A6" s="360"/>
      <c r="B6" s="361"/>
      <c r="C6" s="3668" t="s">
        <v>1677</v>
      </c>
      <c r="D6" s="3669"/>
      <c r="E6" s="3670" t="s">
        <v>1677</v>
      </c>
      <c r="F6" s="3671"/>
      <c r="G6" s="3668" t="s">
        <v>1677</v>
      </c>
      <c r="H6" s="3669"/>
      <c r="I6" s="3668" t="s">
        <v>1677</v>
      </c>
      <c r="J6" s="3669"/>
      <c r="K6" s="559" t="s">
        <v>1678</v>
      </c>
      <c r="L6" s="2712"/>
      <c r="M6" s="2713"/>
      <c r="N6" s="2713"/>
      <c r="O6" s="2713"/>
      <c r="P6" s="3681"/>
      <c r="Q6" s="3682"/>
      <c r="R6" s="3662"/>
      <c r="S6" s="3663"/>
      <c r="T6" s="3683"/>
      <c r="U6" s="3684"/>
      <c r="V6" s="3657"/>
      <c r="W6" s="3657"/>
      <c r="X6" s="1353"/>
      <c r="Y6" s="3683"/>
      <c r="Z6" s="3684"/>
      <c r="AA6" s="3656"/>
      <c r="AB6" s="3657"/>
      <c r="AC6" s="3656"/>
    </row>
    <row r="7" spans="1:29" s="108" customFormat="1" ht="15.75" thickBot="1">
      <c r="A7" s="362" t="s">
        <v>1679</v>
      </c>
      <c r="B7" s="363"/>
      <c r="C7" s="364">
        <f>'数据-取费表'!B2</f>
        <v>45085</v>
      </c>
      <c r="D7" s="365">
        <v>100</v>
      </c>
      <c r="E7" s="366">
        <f>C7</f>
        <v>45085</v>
      </c>
      <c r="F7" s="367">
        <f>SUMIF(58:58,YEAR(E7)&amp;"-"&amp;MONTH(E7),59:59)</f>
        <v>100</v>
      </c>
      <c r="G7" s="366">
        <f>C7</f>
        <v>45085</v>
      </c>
      <c r="H7" s="365">
        <f>SUMIF(58:58,YEAR(G7)&amp;"-"&amp;MONTH(G7),59:59)</f>
        <v>100</v>
      </c>
      <c r="I7" s="366">
        <f>C7</f>
        <v>45085</v>
      </c>
      <c r="J7" s="365">
        <f>SUMIF(58:58,YEAR(I7)&amp;"-"&amp;MONTH(I7),59:59)</f>
        <v>100</v>
      </c>
      <c r="K7" s="560"/>
      <c r="L7" s="2714"/>
      <c r="M7" s="2715"/>
      <c r="N7" s="2715"/>
      <c r="O7" s="2715"/>
      <c r="P7" s="3658" t="s">
        <v>1680</v>
      </c>
      <c r="Q7" s="3685"/>
      <c r="R7" s="699" t="s">
        <v>14</v>
      </c>
      <c r="S7" s="700">
        <f t="shared" ref="S7:S15" si="0">F7</f>
        <v>100</v>
      </c>
      <c r="T7" s="699" t="s">
        <v>14</v>
      </c>
      <c r="U7" s="700">
        <f t="shared" ref="U7:U15" si="1">H7</f>
        <v>100</v>
      </c>
      <c r="V7" s="699" t="s">
        <v>14</v>
      </c>
      <c r="W7" s="700">
        <f t="shared" ref="W7:W15" si="2">J7</f>
        <v>100</v>
      </c>
      <c r="X7" s="701"/>
      <c r="Y7" s="3658" t="s">
        <v>1680</v>
      </c>
      <c r="Z7" s="3659"/>
      <c r="AA7" s="702">
        <f>D7/F7</f>
        <v>1</v>
      </c>
      <c r="AB7" s="702">
        <f>D7/H7</f>
        <v>1</v>
      </c>
      <c r="AC7" s="702">
        <f>D7/J7</f>
        <v>1</v>
      </c>
    </row>
    <row r="8" spans="1:29" s="108" customFormat="1" ht="15.75" thickBot="1">
      <c r="A8" s="362" t="s">
        <v>1681</v>
      </c>
      <c r="B8" s="363"/>
      <c r="C8" s="368" t="s">
        <v>3401</v>
      </c>
      <c r="D8" s="365">
        <v>100</v>
      </c>
      <c r="E8" s="368" t="s">
        <v>3399</v>
      </c>
      <c r="F8" s="367">
        <f>SUMIF(61:61,E8,62:62)-SUMIF(61:61,C8,62:62)+100</f>
        <v>105</v>
      </c>
      <c r="G8" s="368" t="s">
        <v>3399</v>
      </c>
      <c r="H8" s="365">
        <f>SUMIF(61:61,G8,62:62)-SUMIF(61:61,C8,62:62)+100</f>
        <v>105</v>
      </c>
      <c r="I8" s="368" t="s">
        <v>3399</v>
      </c>
      <c r="J8" s="365">
        <f>SUMIF(61:61,I8,62:62)-SUMIF(61:61,C8,62:62)+100</f>
        <v>105</v>
      </c>
      <c r="K8" s="560"/>
      <c r="L8" s="2714"/>
      <c r="M8" s="2715"/>
      <c r="N8" s="2715"/>
      <c r="O8" s="2715"/>
      <c r="P8" s="3658" t="s">
        <v>1683</v>
      </c>
      <c r="Q8" s="3659"/>
      <c r="R8" s="699" t="s">
        <v>14</v>
      </c>
      <c r="S8" s="700">
        <f t="shared" si="0"/>
        <v>105</v>
      </c>
      <c r="T8" s="699" t="s">
        <v>14</v>
      </c>
      <c r="U8" s="700">
        <f t="shared" si="1"/>
        <v>105</v>
      </c>
      <c r="V8" s="699" t="s">
        <v>14</v>
      </c>
      <c r="W8" s="700">
        <f t="shared" si="2"/>
        <v>105</v>
      </c>
      <c r="X8" s="701"/>
      <c r="Y8" s="3658" t="s">
        <v>1683</v>
      </c>
      <c r="Z8" s="3659"/>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8" t="s">
        <v>3402</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2" t="s">
        <v>1686</v>
      </c>
      <c r="Q9" s="1341" t="str">
        <f t="shared" ref="Q9:Q15" si="6">B9</f>
        <v>用途</v>
      </c>
      <c r="R9" s="699" t="s">
        <v>14</v>
      </c>
      <c r="S9" s="700">
        <f t="shared" si="0"/>
        <v>100</v>
      </c>
      <c r="T9" s="699" t="s">
        <v>14</v>
      </c>
      <c r="U9" s="700">
        <f t="shared" si="1"/>
        <v>100</v>
      </c>
      <c r="V9" s="699" t="s">
        <v>14</v>
      </c>
      <c r="W9" s="700">
        <f t="shared" si="2"/>
        <v>100</v>
      </c>
      <c r="X9" s="701"/>
      <c r="Y9" s="3627" t="s">
        <v>1687</v>
      </c>
      <c r="Z9" s="52" t="str">
        <f t="shared" ref="Z9:Z15" si="7">Q9</f>
        <v>用途</v>
      </c>
      <c r="AA9" s="702">
        <f t="shared" si="3"/>
        <v>1</v>
      </c>
      <c r="AB9" s="702">
        <f t="shared" si="4"/>
        <v>1</v>
      </c>
      <c r="AC9" s="702">
        <f t="shared" si="5"/>
        <v>1</v>
      </c>
    </row>
    <row r="10" spans="1:29" s="378" customFormat="1" ht="27">
      <c r="A10" s="374"/>
      <c r="B10" s="375" t="s">
        <v>1688</v>
      </c>
      <c r="C10" s="3431" t="s">
        <v>3487</v>
      </c>
      <c r="D10" s="127">
        <v>100</v>
      </c>
      <c r="E10" s="3432" t="s">
        <v>3487</v>
      </c>
      <c r="F10" s="376">
        <f>SUMIF(65:65,E10,66:66)-SUMIF(65:65,C10,66:66)+100</f>
        <v>100</v>
      </c>
      <c r="G10" s="3431" t="s">
        <v>3487</v>
      </c>
      <c r="H10" s="127">
        <f>SUMIF(65:65,G10,66:66)-SUMIF(65:65,C10,66:66)+100</f>
        <v>100</v>
      </c>
      <c r="I10" s="3431" t="s">
        <v>3487</v>
      </c>
      <c r="J10" s="127">
        <f>SUMIF(65:65,I10,66:66)-SUMIF(65:65,C10,66:66)+100</f>
        <v>100</v>
      </c>
      <c r="K10" s="560"/>
      <c r="L10" s="2716"/>
      <c r="M10" s="2717"/>
      <c r="N10" s="2717"/>
      <c r="O10" s="2717"/>
      <c r="P10" s="3672"/>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2"/>
      <c r="Q11" s="1341" t="str">
        <f t="shared" si="6"/>
        <v>容积率</v>
      </c>
      <c r="R11" s="699" t="s">
        <v>14</v>
      </c>
      <c r="S11" s="700">
        <f t="shared" si="0"/>
        <v>100</v>
      </c>
      <c r="T11" s="699" t="s">
        <v>14</v>
      </c>
      <c r="U11" s="700">
        <f t="shared" si="1"/>
        <v>100</v>
      </c>
      <c r="V11" s="699" t="s">
        <v>14</v>
      </c>
      <c r="W11" s="700">
        <f t="shared" si="2"/>
        <v>100</v>
      </c>
      <c r="X11" s="701"/>
      <c r="Y11" s="3627"/>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2"/>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2"/>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2"/>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105</v>
      </c>
      <c r="K15" s="563">
        <v>5</v>
      </c>
      <c r="L15" s="2719"/>
      <c r="M15" s="2713"/>
      <c r="N15" s="2713"/>
      <c r="O15" s="2713"/>
      <c r="P15" s="3686" t="s">
        <v>1691</v>
      </c>
      <c r="Q15" s="1350" t="str">
        <f t="shared" si="6"/>
        <v>商业繁华度</v>
      </c>
      <c r="R15" s="703" t="s">
        <v>14</v>
      </c>
      <c r="S15" s="704">
        <f t="shared" si="0"/>
        <v>100</v>
      </c>
      <c r="T15" s="703" t="s">
        <v>14</v>
      </c>
      <c r="U15" s="704">
        <f t="shared" si="1"/>
        <v>100</v>
      </c>
      <c r="V15" s="703" t="s">
        <v>14</v>
      </c>
      <c r="W15" s="704">
        <f t="shared" si="2"/>
        <v>105</v>
      </c>
      <c r="X15" s="1353"/>
      <c r="Y15" s="3688" t="s">
        <v>1691</v>
      </c>
      <c r="Z15" s="1354" t="str">
        <f t="shared" si="7"/>
        <v>商业繁华度</v>
      </c>
      <c r="AA15" s="1351">
        <f t="shared" si="3"/>
        <v>1</v>
      </c>
      <c r="AB15" s="1351">
        <f t="shared" si="4"/>
        <v>1</v>
      </c>
      <c r="AC15" s="1351">
        <f t="shared" si="5"/>
        <v>0.95238095238095233</v>
      </c>
    </row>
    <row r="16" spans="1:29" ht="15">
      <c r="A16" s="379"/>
      <c r="B16" s="397"/>
      <c r="C16" s="398" t="s">
        <v>3403</v>
      </c>
      <c r="D16" s="399"/>
      <c r="E16" s="398" t="s">
        <v>3403</v>
      </c>
      <c r="F16" s="400"/>
      <c r="G16" s="398" t="s">
        <v>3403</v>
      </c>
      <c r="H16" s="401"/>
      <c r="I16" s="398" t="s">
        <v>3404</v>
      </c>
      <c r="J16" s="399"/>
      <c r="K16" s="564"/>
      <c r="L16" s="2719"/>
      <c r="M16" s="2713"/>
      <c r="N16" s="2713"/>
      <c r="O16" s="2713"/>
      <c r="P16" s="3687"/>
      <c r="Q16" s="1350"/>
      <c r="R16" s="703"/>
      <c r="S16" s="704"/>
      <c r="T16" s="703"/>
      <c r="U16" s="704"/>
      <c r="V16" s="703"/>
      <c r="W16" s="704"/>
      <c r="X16" s="1353"/>
      <c r="Y16" s="368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687"/>
      <c r="Q17" s="1350" t="str">
        <f>B17</f>
        <v>交通便捷度</v>
      </c>
      <c r="R17" s="703" t="s">
        <v>14</v>
      </c>
      <c r="S17" s="704">
        <f>F17</f>
        <v>100</v>
      </c>
      <c r="T17" s="703" t="s">
        <v>14</v>
      </c>
      <c r="U17" s="704">
        <f>H17</f>
        <v>100</v>
      </c>
      <c r="V17" s="703" t="s">
        <v>14</v>
      </c>
      <c r="W17" s="704">
        <f>J17</f>
        <v>100</v>
      </c>
      <c r="X17" s="1353"/>
      <c r="Y17" s="3689"/>
      <c r="Z17" s="1354" t="str">
        <f>Q17</f>
        <v>交通便捷度</v>
      </c>
      <c r="AA17" s="1351">
        <f t="shared" si="3"/>
        <v>1</v>
      </c>
      <c r="AB17" s="1351">
        <f t="shared" si="4"/>
        <v>1</v>
      </c>
      <c r="AC17" s="1351">
        <f t="shared" si="5"/>
        <v>1</v>
      </c>
    </row>
    <row r="18" spans="1:29" ht="15">
      <c r="A18" s="379"/>
      <c r="B18" s="407"/>
      <c r="C18" s="1899" t="s">
        <v>3403</v>
      </c>
      <c r="D18" s="401"/>
      <c r="E18" s="1899" t="s">
        <v>3403</v>
      </c>
      <c r="F18" s="404"/>
      <c r="G18" s="1899" t="s">
        <v>3403</v>
      </c>
      <c r="H18" s="399"/>
      <c r="I18" s="1899" t="s">
        <v>3403</v>
      </c>
      <c r="J18" s="399"/>
      <c r="K18" s="564"/>
      <c r="L18" s="2719"/>
      <c r="M18" s="2713"/>
      <c r="N18" s="2713"/>
      <c r="O18" s="2713"/>
      <c r="P18" s="3687"/>
      <c r="Q18" s="1350"/>
      <c r="R18" s="703"/>
      <c r="S18" s="704"/>
      <c r="T18" s="703"/>
      <c r="U18" s="704"/>
      <c r="V18" s="703"/>
      <c r="W18" s="704"/>
      <c r="X18" s="1353"/>
      <c r="Y18" s="368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687"/>
      <c r="Q19" s="1350" t="str">
        <f>B19</f>
        <v>公共配套设施</v>
      </c>
      <c r="R19" s="703" t="s">
        <v>14</v>
      </c>
      <c r="S19" s="704">
        <f>F19</f>
        <v>100</v>
      </c>
      <c r="T19" s="703" t="s">
        <v>14</v>
      </c>
      <c r="U19" s="704">
        <f>H19</f>
        <v>100</v>
      </c>
      <c r="V19" s="703" t="s">
        <v>14</v>
      </c>
      <c r="W19" s="704">
        <f>J19</f>
        <v>100</v>
      </c>
      <c r="X19" s="1353"/>
      <c r="Y19" s="3689"/>
      <c r="Z19" s="1354" t="str">
        <f>Q19</f>
        <v>公共配套设施</v>
      </c>
      <c r="AA19" s="1351">
        <f t="shared" si="3"/>
        <v>1</v>
      </c>
      <c r="AB19" s="1351">
        <f t="shared" si="4"/>
        <v>1</v>
      </c>
      <c r="AC19" s="1351">
        <f t="shared" si="5"/>
        <v>1</v>
      </c>
    </row>
    <row r="20" spans="1:29" ht="15">
      <c r="A20" s="379"/>
      <c r="B20" s="407"/>
      <c r="C20" s="398" t="s">
        <v>3404</v>
      </c>
      <c r="D20" s="399"/>
      <c r="E20" s="398" t="s">
        <v>3404</v>
      </c>
      <c r="F20" s="400"/>
      <c r="G20" s="398" t="s">
        <v>3404</v>
      </c>
      <c r="H20" s="399"/>
      <c r="I20" s="398" t="s">
        <v>3404</v>
      </c>
      <c r="J20" s="399"/>
      <c r="K20" s="564"/>
      <c r="L20" s="2719"/>
      <c r="M20" s="2713"/>
      <c r="N20" s="2713"/>
      <c r="O20" s="2713"/>
      <c r="P20" s="3687"/>
      <c r="Q20" s="1350"/>
      <c r="R20" s="703"/>
      <c r="S20" s="704"/>
      <c r="T20" s="703"/>
      <c r="U20" s="704"/>
      <c r="V20" s="703"/>
      <c r="W20" s="704"/>
      <c r="X20" s="1353"/>
      <c r="Y20" s="368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687"/>
      <c r="Q21" s="1350" t="str">
        <f>B21</f>
        <v>基础设施水平</v>
      </c>
      <c r="R21" s="703" t="s">
        <v>14</v>
      </c>
      <c r="S21" s="704">
        <f>F21</f>
        <v>100</v>
      </c>
      <c r="T21" s="703" t="s">
        <v>14</v>
      </c>
      <c r="U21" s="704">
        <f>H21</f>
        <v>100</v>
      </c>
      <c r="V21" s="703" t="s">
        <v>14</v>
      </c>
      <c r="W21" s="704">
        <f>J21</f>
        <v>100</v>
      </c>
      <c r="X21" s="1353"/>
      <c r="Y21" s="3689"/>
      <c r="Z21" s="1354" t="str">
        <f>Q21</f>
        <v>基础设施水平</v>
      </c>
      <c r="AA21" s="1351">
        <f t="shared" ref="AA21" si="8">D21/F21</f>
        <v>1</v>
      </c>
      <c r="AB21" s="1351">
        <f t="shared" ref="AB21" si="9">D21/H21</f>
        <v>1</v>
      </c>
      <c r="AC21" s="1351">
        <f t="shared" ref="AC21" si="10">D21/J21</f>
        <v>1</v>
      </c>
    </row>
    <row r="22" spans="1:29" ht="15">
      <c r="A22" s="379"/>
      <c r="B22" s="1129"/>
      <c r="C22" s="1899" t="s">
        <v>3405</v>
      </c>
      <c r="D22" s="399"/>
      <c r="E22" s="1899" t="s">
        <v>3405</v>
      </c>
      <c r="F22" s="400"/>
      <c r="G22" s="1899" t="s">
        <v>3405</v>
      </c>
      <c r="H22" s="399"/>
      <c r="I22" s="1899" t="s">
        <v>3405</v>
      </c>
      <c r="J22" s="399"/>
      <c r="K22" s="1128"/>
      <c r="L22" s="2719"/>
      <c r="M22" s="2713"/>
      <c r="N22" s="2713"/>
      <c r="O22" s="2713"/>
      <c r="P22" s="3687"/>
      <c r="Q22" s="1350"/>
      <c r="R22" s="703"/>
      <c r="S22" s="704"/>
      <c r="T22" s="703"/>
      <c r="U22" s="704"/>
      <c r="V22" s="703"/>
      <c r="W22" s="704"/>
      <c r="X22" s="1353"/>
      <c r="Y22" s="368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687"/>
      <c r="Q23" s="1350" t="str">
        <f>B23</f>
        <v>自然及人文环境</v>
      </c>
      <c r="R23" s="703" t="s">
        <v>14</v>
      </c>
      <c r="S23" s="704">
        <f>F23</f>
        <v>100</v>
      </c>
      <c r="T23" s="703" t="s">
        <v>14</v>
      </c>
      <c r="U23" s="704">
        <f>H23</f>
        <v>100</v>
      </c>
      <c r="V23" s="703" t="s">
        <v>14</v>
      </c>
      <c r="W23" s="704">
        <f>J23</f>
        <v>100</v>
      </c>
      <c r="X23" s="1353"/>
      <c r="Y23" s="3689"/>
      <c r="Z23" s="1354" t="str">
        <f>Q23</f>
        <v>自然及人文环境</v>
      </c>
      <c r="AA23" s="1351">
        <f t="shared" si="3"/>
        <v>1</v>
      </c>
      <c r="AB23" s="1351">
        <f t="shared" si="4"/>
        <v>1</v>
      </c>
      <c r="AC23" s="1351">
        <f t="shared" si="5"/>
        <v>1</v>
      </c>
    </row>
    <row r="24" spans="1:29" ht="15">
      <c r="A24" s="379"/>
      <c r="B24" s="407"/>
      <c r="C24" s="398" t="s">
        <v>3403</v>
      </c>
      <c r="D24" s="399"/>
      <c r="E24" s="398" t="s">
        <v>3403</v>
      </c>
      <c r="F24" s="400"/>
      <c r="G24" s="398" t="s">
        <v>3403</v>
      </c>
      <c r="H24" s="399"/>
      <c r="I24" s="398" t="s">
        <v>3403</v>
      </c>
      <c r="J24" s="399"/>
      <c r="K24" s="564"/>
      <c r="L24" s="2719"/>
      <c r="M24" s="2713"/>
      <c r="N24" s="2713"/>
      <c r="O24" s="2713"/>
      <c r="P24" s="3687"/>
      <c r="Q24" s="1350"/>
      <c r="R24" s="703"/>
      <c r="S24" s="704"/>
      <c r="T24" s="703"/>
      <c r="U24" s="704"/>
      <c r="V24" s="703"/>
      <c r="W24" s="704"/>
      <c r="X24" s="1353"/>
      <c r="Y24" s="3689"/>
      <c r="Z24" s="1354"/>
      <c r="AA24" s="1351">
        <v>1</v>
      </c>
      <c r="AB24" s="1351">
        <v>1</v>
      </c>
      <c r="AC24" s="1351">
        <v>1</v>
      </c>
    </row>
    <row r="25" spans="1:29" ht="15">
      <c r="A25" s="379"/>
      <c r="B25" s="375" t="s">
        <v>1780</v>
      </c>
      <c r="C25" s="565" t="s">
        <v>3427</v>
      </c>
      <c r="D25" s="386">
        <v>100</v>
      </c>
      <c r="E25" s="565" t="s">
        <v>3427</v>
      </c>
      <c r="F25" s="412">
        <f>SUMIF(86:86,E25,87:87)-SUMIF(86:86,C25,87:87)+100</f>
        <v>100</v>
      </c>
      <c r="G25" s="565" t="s">
        <v>3427</v>
      </c>
      <c r="H25" s="386">
        <f>SUMIF(86:86,G25,87:87)-SUMIF(86:86,C25,87:87)+100</f>
        <v>100</v>
      </c>
      <c r="I25" s="565" t="s">
        <v>3427</v>
      </c>
      <c r="J25" s="386">
        <f>SUMIF(86:86,I25,87:87)-SUMIF(86:86,C25,87:87)+100</f>
        <v>100</v>
      </c>
      <c r="K25" s="561">
        <v>5</v>
      </c>
      <c r="L25" s="2719"/>
      <c r="M25" s="2713"/>
      <c r="N25" s="2713"/>
      <c r="O25" s="2713"/>
      <c r="P25" s="3687"/>
      <c r="Q25" s="1350" t="str">
        <f t="shared" ref="Q25:Q46" si="11">B25</f>
        <v>临街状况</v>
      </c>
      <c r="R25" s="703" t="s">
        <v>14</v>
      </c>
      <c r="S25" s="704">
        <f>F25</f>
        <v>100</v>
      </c>
      <c r="T25" s="703" t="s">
        <v>14</v>
      </c>
      <c r="U25" s="704">
        <f>H25</f>
        <v>100</v>
      </c>
      <c r="V25" s="703" t="s">
        <v>14</v>
      </c>
      <c r="W25" s="704">
        <f>J25</f>
        <v>100</v>
      </c>
      <c r="X25" s="1353"/>
      <c r="Y25" s="3689"/>
      <c r="Z25" s="1354" t="str">
        <f>Q25</f>
        <v>临街状况</v>
      </c>
      <c r="AA25" s="1351">
        <f t="shared" si="3"/>
        <v>1</v>
      </c>
      <c r="AB25" s="1351">
        <f t="shared" si="4"/>
        <v>1</v>
      </c>
      <c r="AC25" s="1351">
        <f t="shared" si="5"/>
        <v>1</v>
      </c>
    </row>
    <row r="26" spans="1:29" ht="15">
      <c r="A26" s="379"/>
      <c r="B26" s="1131" t="s">
        <v>1781</v>
      </c>
      <c r="C26" s="3452" t="s">
        <v>3473</v>
      </c>
      <c r="D26" s="386">
        <v>100</v>
      </c>
      <c r="E26" s="3452" t="s">
        <v>3473</v>
      </c>
      <c r="F26" s="412">
        <f>SUMIF(88:88,E26,89:89)-SUMIF(88:88,C26,89:89)+100</f>
        <v>100</v>
      </c>
      <c r="G26" s="3452" t="s">
        <v>3473</v>
      </c>
      <c r="H26" s="386">
        <f>SUMIF(88:88,G26,89:89)-SUMIF(88:88,C26,89:89)+100</f>
        <v>100</v>
      </c>
      <c r="I26" s="3452" t="s">
        <v>3473</v>
      </c>
      <c r="J26" s="386">
        <f>SUMIF(88:88,I26,89:89)-SUMIF(88:88,C26,89:89)+100</f>
        <v>100</v>
      </c>
      <c r="K26" s="562"/>
      <c r="L26" s="2719"/>
      <c r="M26" s="2713"/>
      <c r="N26" s="2713"/>
      <c r="O26" s="2713"/>
      <c r="P26" s="3687"/>
      <c r="Q26" s="1350" t="str">
        <f t="shared" si="11"/>
        <v>平面位置/可视性</v>
      </c>
      <c r="R26" s="703" t="s">
        <v>14</v>
      </c>
      <c r="S26" s="704">
        <f>F26</f>
        <v>100</v>
      </c>
      <c r="T26" s="703" t="s">
        <v>14</v>
      </c>
      <c r="U26" s="704">
        <f>H26</f>
        <v>100</v>
      </c>
      <c r="V26" s="703" t="s">
        <v>14</v>
      </c>
      <c r="W26" s="704">
        <f>J26</f>
        <v>100</v>
      </c>
      <c r="X26" s="1353"/>
      <c r="Y26" s="3689"/>
      <c r="Z26" s="1354" t="str">
        <f>Q26</f>
        <v>平面位置/可视性</v>
      </c>
      <c r="AA26" s="1351">
        <f t="shared" si="3"/>
        <v>1</v>
      </c>
      <c r="AB26" s="1351">
        <f t="shared" si="4"/>
        <v>1</v>
      </c>
      <c r="AC26" s="1351">
        <f t="shared" si="5"/>
        <v>1</v>
      </c>
    </row>
    <row r="27" spans="1:29" s="108" customFormat="1" ht="15">
      <c r="A27" s="382"/>
      <c r="B27" s="402" t="s">
        <v>1782</v>
      </c>
      <c r="C27" s="1954" t="s">
        <v>3463</v>
      </c>
      <c r="D27" s="413">
        <v>100</v>
      </c>
      <c r="E27" s="1954" t="s">
        <v>3463</v>
      </c>
      <c r="F27" s="415">
        <f>SUMIF(90:90,E27,91:91)-SUMIF(90:90,C27,91:91)+100</f>
        <v>100</v>
      </c>
      <c r="G27" s="1954" t="s">
        <v>3463</v>
      </c>
      <c r="H27" s="413">
        <f>SUMIF(90:90,G27,91:91)-SUMIF(90:90,C27,91:91)+100</f>
        <v>100</v>
      </c>
      <c r="I27" s="1954" t="s">
        <v>3403</v>
      </c>
      <c r="J27" s="413">
        <f>SUMIF(90:90,I27,91:91)-SUMIF(90:90,C27,91:91)+100</f>
        <v>105</v>
      </c>
      <c r="K27" s="561">
        <v>5</v>
      </c>
      <c r="L27" s="2714"/>
      <c r="M27" s="2715"/>
      <c r="N27" s="2715"/>
      <c r="O27" s="2715"/>
      <c r="P27" s="3687"/>
      <c r="Q27" s="1341" t="str">
        <f t="shared" si="11"/>
        <v>人流量</v>
      </c>
      <c r="R27" s="699" t="s">
        <v>14</v>
      </c>
      <c r="S27" s="700">
        <f>F27</f>
        <v>100</v>
      </c>
      <c r="T27" s="699" t="s">
        <v>14</v>
      </c>
      <c r="U27" s="700">
        <f>H27</f>
        <v>100</v>
      </c>
      <c r="V27" s="699" t="s">
        <v>14</v>
      </c>
      <c r="W27" s="700">
        <f>J27</f>
        <v>105</v>
      </c>
      <c r="X27" s="701"/>
      <c r="Y27" s="3689"/>
      <c r="Z27" s="52" t="str">
        <f>Q27</f>
        <v>人流量</v>
      </c>
      <c r="AA27" s="1351">
        <f>D27/F27</f>
        <v>1</v>
      </c>
      <c r="AB27" s="1351">
        <f>D27/H27</f>
        <v>1</v>
      </c>
      <c r="AC27" s="1351">
        <f>D27/J27</f>
        <v>0.95238095238095233</v>
      </c>
    </row>
    <row r="28" spans="1:29" ht="15">
      <c r="A28" s="379"/>
      <c r="B28" s="375" t="s">
        <v>1783</v>
      </c>
      <c r="C28" s="565" t="s">
        <v>3459</v>
      </c>
      <c r="D28" s="386">
        <v>100</v>
      </c>
      <c r="E28" s="565" t="s">
        <v>3459</v>
      </c>
      <c r="F28" s="412">
        <f>SUMIF(92:92,E28,93:93)-SUMIF(92:92,C28,93:93)+100</f>
        <v>100</v>
      </c>
      <c r="G28" s="565" t="s">
        <v>3459</v>
      </c>
      <c r="H28" s="386">
        <f>SUMIF(92:92,G28,93:93)-SUMIF(92:92,C28,93:93)+100</f>
        <v>100</v>
      </c>
      <c r="I28" s="565" t="s">
        <v>3435</v>
      </c>
      <c r="J28" s="386">
        <f>SUMIF(92:92,I28,93:93)-SUMIF(92:92,C28,93:93)+100</f>
        <v>125</v>
      </c>
      <c r="K28" s="562"/>
      <c r="L28" s="2719"/>
      <c r="M28" s="2713"/>
      <c r="N28" s="2713"/>
      <c r="O28" s="2713"/>
      <c r="P28" s="3687"/>
      <c r="Q28" s="1350" t="str">
        <f t="shared" si="11"/>
        <v>楼层</v>
      </c>
      <c r="R28" s="703" t="s">
        <v>14</v>
      </c>
      <c r="S28" s="704">
        <f t="shared" ref="S28:S46" si="12">F28</f>
        <v>100</v>
      </c>
      <c r="T28" s="703" t="s">
        <v>14</v>
      </c>
      <c r="U28" s="704">
        <f t="shared" ref="U28:U46" si="13">H28</f>
        <v>100</v>
      </c>
      <c r="V28" s="703" t="s">
        <v>14</v>
      </c>
      <c r="W28" s="704">
        <f t="shared" ref="W28:W46" si="14">J28</f>
        <v>125</v>
      </c>
      <c r="X28" s="1353"/>
      <c r="Y28" s="3689"/>
      <c r="Z28" s="1354" t="str">
        <f t="shared" ref="Z28:Z46" si="15">Q28</f>
        <v>楼层</v>
      </c>
      <c r="AA28" s="1351">
        <f t="shared" si="3"/>
        <v>1</v>
      </c>
      <c r="AB28" s="1351">
        <f t="shared" si="4"/>
        <v>1</v>
      </c>
      <c r="AC28" s="1351">
        <f t="shared" si="5"/>
        <v>0.8</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7"/>
      <c r="Q29" s="1350">
        <f t="shared" si="11"/>
        <v>111</v>
      </c>
      <c r="R29" s="703" t="s">
        <v>14</v>
      </c>
      <c r="S29" s="704">
        <f t="shared" si="12"/>
        <v>100</v>
      </c>
      <c r="T29" s="703" t="s">
        <v>14</v>
      </c>
      <c r="U29" s="704">
        <f t="shared" si="13"/>
        <v>100</v>
      </c>
      <c r="V29" s="703" t="s">
        <v>14</v>
      </c>
      <c r="W29" s="704">
        <f t="shared" si="14"/>
        <v>100</v>
      </c>
      <c r="X29" s="1353"/>
      <c r="Y29" s="368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7"/>
      <c r="Q30" s="1350">
        <f t="shared" si="11"/>
        <v>111</v>
      </c>
      <c r="R30" s="703" t="s">
        <v>14</v>
      </c>
      <c r="S30" s="704">
        <f t="shared" si="12"/>
        <v>100</v>
      </c>
      <c r="T30" s="703" t="s">
        <v>14</v>
      </c>
      <c r="U30" s="704">
        <f t="shared" si="13"/>
        <v>100</v>
      </c>
      <c r="V30" s="703" t="s">
        <v>14</v>
      </c>
      <c r="W30" s="704">
        <f t="shared" si="14"/>
        <v>100</v>
      </c>
      <c r="X30" s="1353"/>
      <c r="Y30" s="368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7"/>
      <c r="Q31" s="1350">
        <f t="shared" si="11"/>
        <v>111</v>
      </c>
      <c r="R31" s="703" t="s">
        <v>14</v>
      </c>
      <c r="S31" s="704">
        <f t="shared" si="12"/>
        <v>100</v>
      </c>
      <c r="T31" s="703" t="s">
        <v>14</v>
      </c>
      <c r="U31" s="704">
        <f t="shared" si="13"/>
        <v>100</v>
      </c>
      <c r="V31" s="703" t="s">
        <v>14</v>
      </c>
      <c r="W31" s="704">
        <f t="shared" si="14"/>
        <v>100</v>
      </c>
      <c r="X31" s="1353"/>
      <c r="Y31" s="3689"/>
      <c r="Z31" s="1354">
        <f t="shared" si="15"/>
        <v>111</v>
      </c>
      <c r="AA31" s="1351">
        <f t="shared" si="3"/>
        <v>1</v>
      </c>
      <c r="AB31" s="1351">
        <f t="shared" si="4"/>
        <v>1</v>
      </c>
      <c r="AC31" s="1351">
        <f t="shared" si="5"/>
        <v>1</v>
      </c>
    </row>
    <row r="32" spans="1:29" ht="15">
      <c r="A32" s="391" t="s">
        <v>1694</v>
      </c>
      <c r="B32" s="63" t="s">
        <v>1784</v>
      </c>
      <c r="C32" s="1908" t="s">
        <v>3477</v>
      </c>
      <c r="D32" s="418">
        <v>100</v>
      </c>
      <c r="E32" s="1908" t="s">
        <v>3477</v>
      </c>
      <c r="F32" s="412">
        <f>SUMIF(100:100,E32,101:101)-SUMIF(100:100,C32,101:101)+100</f>
        <v>100</v>
      </c>
      <c r="G32" s="1908" t="s">
        <v>3477</v>
      </c>
      <c r="H32" s="386">
        <f>SUMIF(100:100,G32,101:101)-SUMIF(100:100,C32,101:101)+100</f>
        <v>100</v>
      </c>
      <c r="I32" s="1908" t="s">
        <v>3477</v>
      </c>
      <c r="J32" s="418">
        <f>SUMIF(100:100,I32,101:101)-SUMIF(100:100,C32,101:101)+100</f>
        <v>100</v>
      </c>
      <c r="K32" s="561">
        <v>5</v>
      </c>
      <c r="L32" s="2719"/>
      <c r="M32" s="2713"/>
      <c r="N32" s="2713"/>
      <c r="O32" s="2713"/>
      <c r="P32" s="3690" t="s">
        <v>1696</v>
      </c>
      <c r="Q32" s="1350" t="str">
        <f t="shared" si="11"/>
        <v>商业类型</v>
      </c>
      <c r="R32" s="703" t="s">
        <v>14</v>
      </c>
      <c r="S32" s="704">
        <f t="shared" si="12"/>
        <v>100</v>
      </c>
      <c r="T32" s="703" t="s">
        <v>14</v>
      </c>
      <c r="U32" s="704">
        <f t="shared" si="13"/>
        <v>100</v>
      </c>
      <c r="V32" s="703" t="s">
        <v>14</v>
      </c>
      <c r="W32" s="704">
        <f t="shared" si="14"/>
        <v>100</v>
      </c>
      <c r="X32" s="1353"/>
      <c r="Y32" s="3693" t="s">
        <v>1696</v>
      </c>
      <c r="Z32" s="1354" t="str">
        <f t="shared" si="15"/>
        <v>商业类型</v>
      </c>
      <c r="AA32" s="1351">
        <f t="shared" si="3"/>
        <v>1</v>
      </c>
      <c r="AB32" s="1351">
        <f t="shared" si="4"/>
        <v>1</v>
      </c>
      <c r="AC32" s="1351">
        <f t="shared" si="5"/>
        <v>1</v>
      </c>
    </row>
    <row r="33" spans="1:29" s="422" customFormat="1" ht="15">
      <c r="A33" s="419"/>
      <c r="B33" s="375" t="s">
        <v>1697</v>
      </c>
      <c r="C33" s="420">
        <f>'数据-基础表'!I13</f>
        <v>554.57000000000005</v>
      </c>
      <c r="D33" s="127">
        <v>100</v>
      </c>
      <c r="E33" s="381">
        <v>338.21</v>
      </c>
      <c r="F33" s="376">
        <f>LOOKUP(E33,103:103,104:104)-LOOKUP(C33,103:103,104:104)+100</f>
        <v>104</v>
      </c>
      <c r="G33" s="380">
        <v>485.72</v>
      </c>
      <c r="H33" s="127">
        <f>LOOKUP(G33,103:103,104:104)-LOOKUP(C33,103:103,104:104)+100</f>
        <v>102</v>
      </c>
      <c r="I33" s="380">
        <v>37.659999999999997</v>
      </c>
      <c r="J33" s="127">
        <f>LOOKUP(I33,103:103,104:104)-LOOKUP(C33,103:103,104:104)+100</f>
        <v>115</v>
      </c>
      <c r="K33" s="562"/>
      <c r="L33" s="2718"/>
      <c r="M33" s="2720"/>
      <c r="N33" s="2720"/>
      <c r="O33" s="2720"/>
      <c r="P33" s="3691"/>
      <c r="Q33" s="705" t="str">
        <f t="shared" si="11"/>
        <v>项目建筑规模</v>
      </c>
      <c r="R33" s="706" t="s">
        <v>14</v>
      </c>
      <c r="S33" s="707">
        <f t="shared" si="12"/>
        <v>104</v>
      </c>
      <c r="T33" s="706" t="s">
        <v>14</v>
      </c>
      <c r="U33" s="707">
        <f t="shared" si="13"/>
        <v>102</v>
      </c>
      <c r="V33" s="706" t="s">
        <v>14</v>
      </c>
      <c r="W33" s="707">
        <f t="shared" si="14"/>
        <v>115</v>
      </c>
      <c r="X33" s="708"/>
      <c r="Y33" s="3693"/>
      <c r="Z33" s="709" t="str">
        <f t="shared" si="15"/>
        <v>项目建筑规模</v>
      </c>
      <c r="AA33" s="1351">
        <f t="shared" si="3"/>
        <v>0.96153846153846156</v>
      </c>
      <c r="AB33" s="1351">
        <f t="shared" si="4"/>
        <v>0.98039215686274506</v>
      </c>
      <c r="AC33" s="1351">
        <f t="shared" si="5"/>
        <v>0.86956521739130432</v>
      </c>
    </row>
    <row r="34" spans="1:29" ht="15">
      <c r="A34" s="423"/>
      <c r="B34" s="375" t="s">
        <v>1698</v>
      </c>
      <c r="C34" s="1910" t="s">
        <v>3392</v>
      </c>
      <c r="D34" s="386">
        <v>100</v>
      </c>
      <c r="E34" s="1910" t="s">
        <v>3392</v>
      </c>
      <c r="F34" s="412">
        <f>SUMIF(105:105,E34,106:106)-SUMIF(105:105,C34,106:106)+100</f>
        <v>100</v>
      </c>
      <c r="G34" s="1910" t="s">
        <v>3392</v>
      </c>
      <c r="H34" s="386">
        <f>SUMIF(105:105,G34,106:106)-SUMIF(105:105,C34,106:106)+100</f>
        <v>100</v>
      </c>
      <c r="I34" s="1910" t="s">
        <v>3392</v>
      </c>
      <c r="J34" s="386">
        <f>SUMIF(105:105,I34,106:106)-SUMIF(105:105,C34,106:106)+100</f>
        <v>100</v>
      </c>
      <c r="K34" s="561">
        <v>1</v>
      </c>
      <c r="L34" s="2719"/>
      <c r="M34" s="2713"/>
      <c r="N34" s="2713"/>
      <c r="O34" s="2713"/>
      <c r="P34" s="3691"/>
      <c r="Q34" s="1350" t="str">
        <f t="shared" si="11"/>
        <v>建筑结构</v>
      </c>
      <c r="R34" s="703" t="s">
        <v>14</v>
      </c>
      <c r="S34" s="704">
        <f t="shared" si="12"/>
        <v>100</v>
      </c>
      <c r="T34" s="703" t="s">
        <v>14</v>
      </c>
      <c r="U34" s="704">
        <f t="shared" si="13"/>
        <v>100</v>
      </c>
      <c r="V34" s="703" t="s">
        <v>14</v>
      </c>
      <c r="W34" s="704">
        <f t="shared" si="14"/>
        <v>100</v>
      </c>
      <c r="X34" s="1353"/>
      <c r="Y34" s="3693"/>
      <c r="Z34" s="1354" t="str">
        <f t="shared" si="15"/>
        <v>建筑结构</v>
      </c>
      <c r="AA34" s="1351">
        <f t="shared" si="3"/>
        <v>1</v>
      </c>
      <c r="AB34" s="1351">
        <f t="shared" si="4"/>
        <v>1</v>
      </c>
      <c r="AC34" s="1351">
        <f t="shared" si="5"/>
        <v>1</v>
      </c>
    </row>
    <row r="35" spans="1:29" ht="15">
      <c r="A35" s="423"/>
      <c r="B35" s="375" t="s">
        <v>1785</v>
      </c>
      <c r="C35" s="1904" t="s">
        <v>3406</v>
      </c>
      <c r="D35" s="386">
        <v>100</v>
      </c>
      <c r="E35" s="1904" t="s">
        <v>3406</v>
      </c>
      <c r="F35" s="412">
        <f>SUMIF(107:107,E35,108:108)-SUMIF(107:107,C35,108:108)+100</f>
        <v>100</v>
      </c>
      <c r="G35" s="1904" t="s">
        <v>3406</v>
      </c>
      <c r="H35" s="386">
        <f>SUMIF(107:107,G35,108:108)-SUMIF(107:107,C35,108:108)+100</f>
        <v>100</v>
      </c>
      <c r="I35" s="1904" t="s">
        <v>3406</v>
      </c>
      <c r="J35" s="386">
        <f>SUMIF(107:107,I35,108:108)-SUMIF(107:107,C35,108:108)+100</f>
        <v>100</v>
      </c>
      <c r="K35" s="561">
        <v>1</v>
      </c>
      <c r="L35" s="2719"/>
      <c r="M35" s="2713"/>
      <c r="N35" s="2713"/>
      <c r="O35" s="2713"/>
      <c r="P35" s="3691"/>
      <c r="Q35" s="1350" t="str">
        <f t="shared" si="11"/>
        <v>公共部分装修</v>
      </c>
      <c r="R35" s="703" t="s">
        <v>14</v>
      </c>
      <c r="S35" s="704">
        <f t="shared" si="12"/>
        <v>100</v>
      </c>
      <c r="T35" s="703" t="s">
        <v>14</v>
      </c>
      <c r="U35" s="704">
        <f t="shared" si="13"/>
        <v>100</v>
      </c>
      <c r="V35" s="703" t="s">
        <v>14</v>
      </c>
      <c r="W35" s="704">
        <f t="shared" si="14"/>
        <v>100</v>
      </c>
      <c r="X35" s="1353"/>
      <c r="Y35" s="3693"/>
      <c r="Z35" s="1354" t="str">
        <f t="shared" si="15"/>
        <v>公共部分装修</v>
      </c>
      <c r="AA35" s="1351">
        <f t="shared" si="3"/>
        <v>1</v>
      </c>
      <c r="AB35" s="1351">
        <f t="shared" si="4"/>
        <v>1</v>
      </c>
      <c r="AC35" s="1351">
        <f t="shared" si="5"/>
        <v>1</v>
      </c>
    </row>
    <row r="36" spans="1:29" ht="15">
      <c r="A36" s="423"/>
      <c r="B36" s="375" t="s">
        <v>1786</v>
      </c>
      <c r="C36" s="425">
        <f>'数据-取费表'!N6</f>
        <v>0.83</v>
      </c>
      <c r="D36" s="386">
        <v>100</v>
      </c>
      <c r="E36" s="425">
        <v>0.85</v>
      </c>
      <c r="F36" s="412">
        <f>LOOKUP(E36,110:110,111:111)-LOOKUP(C36,110:110,111:111)+100</f>
        <v>100</v>
      </c>
      <c r="G36" s="425">
        <v>0.85</v>
      </c>
      <c r="H36" s="412">
        <f>LOOKUP(G36,110:110,111:111)-LOOKUP(C36,110:110,111:111)+100</f>
        <v>100</v>
      </c>
      <c r="I36" s="425">
        <v>0.9</v>
      </c>
      <c r="J36" s="386">
        <f>LOOKUP(I36,110:110,111:111)-LOOKUP(C36,110:110,111:111)+100</f>
        <v>101</v>
      </c>
      <c r="K36" s="561">
        <v>1</v>
      </c>
      <c r="L36" s="2719"/>
      <c r="M36" s="2713"/>
      <c r="N36" s="2713"/>
      <c r="O36" s="2713"/>
      <c r="P36" s="3691"/>
      <c r="Q36" s="1350" t="str">
        <f t="shared" si="11"/>
        <v>成新度</v>
      </c>
      <c r="R36" s="703" t="s">
        <v>14</v>
      </c>
      <c r="S36" s="704">
        <f t="shared" si="12"/>
        <v>100</v>
      </c>
      <c r="T36" s="703" t="s">
        <v>14</v>
      </c>
      <c r="U36" s="704">
        <f t="shared" si="13"/>
        <v>100</v>
      </c>
      <c r="V36" s="703" t="s">
        <v>14</v>
      </c>
      <c r="W36" s="704">
        <f t="shared" si="14"/>
        <v>101</v>
      </c>
      <c r="X36" s="1353"/>
      <c r="Y36" s="3693"/>
      <c r="Z36" s="1354" t="str">
        <f t="shared" si="15"/>
        <v>成新度</v>
      </c>
      <c r="AA36" s="1351">
        <f t="shared" si="3"/>
        <v>1</v>
      </c>
      <c r="AB36" s="1351">
        <f t="shared" si="4"/>
        <v>1</v>
      </c>
      <c r="AC36" s="1351">
        <f t="shared" si="5"/>
        <v>0.99009900990099009</v>
      </c>
    </row>
    <row r="37" spans="1:29" s="108" customFormat="1" ht="15" hidden="1">
      <c r="A37" s="424"/>
      <c r="B37" s="375" t="s">
        <v>1787</v>
      </c>
      <c r="C37" s="1904" t="s">
        <v>3476</v>
      </c>
      <c r="D37" s="127">
        <v>100</v>
      </c>
      <c r="E37" s="1904" t="s">
        <v>3476</v>
      </c>
      <c r="F37" s="412">
        <f>SUMIF(112:112,E37,113:113)-SUMIF(112:112,C37,113:113)+100</f>
        <v>100</v>
      </c>
      <c r="G37" s="1904" t="s">
        <v>3476</v>
      </c>
      <c r="H37" s="386">
        <f>SUMIF(112:112,G37,113:113)-SUMIF(112:112,C37,113:113)+100</f>
        <v>100</v>
      </c>
      <c r="I37" s="1904" t="s">
        <v>3476</v>
      </c>
      <c r="J37" s="386">
        <f>SUMIF(112:112,I37,113:113)-SUMIF(112:112,C37,113:113)+100</f>
        <v>100</v>
      </c>
      <c r="K37" s="561">
        <v>0</v>
      </c>
      <c r="L37" s="2714"/>
      <c r="M37" s="2715"/>
      <c r="N37" s="2715"/>
      <c r="O37" s="2715"/>
      <c r="P37" s="3691"/>
      <c r="Q37" s="1341" t="str">
        <f t="shared" si="11"/>
        <v>市政基础设施</v>
      </c>
      <c r="R37" s="699" t="s">
        <v>14</v>
      </c>
      <c r="S37" s="700">
        <f t="shared" si="12"/>
        <v>100</v>
      </c>
      <c r="T37" s="699" t="s">
        <v>14</v>
      </c>
      <c r="U37" s="700">
        <f t="shared" si="13"/>
        <v>100</v>
      </c>
      <c r="V37" s="699" t="s">
        <v>14</v>
      </c>
      <c r="W37" s="700">
        <f t="shared" si="14"/>
        <v>100</v>
      </c>
      <c r="X37" s="701"/>
      <c r="Y37" s="3693"/>
      <c r="Z37" s="52" t="str">
        <f t="shared" si="15"/>
        <v>市政基础设施</v>
      </c>
      <c r="AA37" s="702">
        <f t="shared" si="3"/>
        <v>1</v>
      </c>
      <c r="AB37" s="702">
        <f t="shared" si="4"/>
        <v>1</v>
      </c>
      <c r="AC37" s="702">
        <f t="shared" si="5"/>
        <v>1</v>
      </c>
    </row>
    <row r="38" spans="1:29" ht="15">
      <c r="A38" s="423"/>
      <c r="B38" s="375" t="s">
        <v>1788</v>
      </c>
      <c r="C38" s="1904" t="s">
        <v>3412</v>
      </c>
      <c r="D38" s="386">
        <v>100</v>
      </c>
      <c r="E38" s="1904" t="s">
        <v>3412</v>
      </c>
      <c r="F38" s="412">
        <f>SUMIF(114:114,E38,115:115)-SUMIF(114:114,C38,115:115)+100</f>
        <v>100</v>
      </c>
      <c r="G38" s="1904" t="s">
        <v>3412</v>
      </c>
      <c r="H38" s="386">
        <f>SUMIF(114:114,G38,115:115)-SUMIF(114:114,C38,115:115)+100</f>
        <v>100</v>
      </c>
      <c r="I38" s="1904" t="s">
        <v>3445</v>
      </c>
      <c r="J38" s="386">
        <f>SUMIF(114:114,I38,115:115)-SUMIF(114:114,C38,115:115)+100</f>
        <v>105</v>
      </c>
      <c r="K38" s="561">
        <v>5</v>
      </c>
      <c r="L38" s="2719"/>
      <c r="M38" s="2713"/>
      <c r="N38" s="2713"/>
      <c r="O38" s="2713"/>
      <c r="P38" s="3691" t="s">
        <v>1696</v>
      </c>
      <c r="Q38" s="1350" t="str">
        <f t="shared" si="11"/>
        <v>业态</v>
      </c>
      <c r="R38" s="703" t="s">
        <v>14</v>
      </c>
      <c r="S38" s="704">
        <f t="shared" si="12"/>
        <v>100</v>
      </c>
      <c r="T38" s="703" t="s">
        <v>14</v>
      </c>
      <c r="U38" s="704">
        <f t="shared" si="13"/>
        <v>100</v>
      </c>
      <c r="V38" s="703" t="s">
        <v>14</v>
      </c>
      <c r="W38" s="704">
        <f t="shared" si="14"/>
        <v>105</v>
      </c>
      <c r="X38" s="1353"/>
      <c r="Y38" s="3693" t="s">
        <v>1696</v>
      </c>
      <c r="Z38" s="1354" t="str">
        <f t="shared" si="15"/>
        <v>业态</v>
      </c>
      <c r="AA38" s="1351">
        <f t="shared" si="3"/>
        <v>1</v>
      </c>
      <c r="AB38" s="1351">
        <f t="shared" si="4"/>
        <v>1</v>
      </c>
      <c r="AC38" s="1351">
        <f t="shared" si="5"/>
        <v>0.95238095238095233</v>
      </c>
    </row>
    <row r="39" spans="1:29" ht="15" hidden="1">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91"/>
      <c r="Q39" s="1350" t="str">
        <f t="shared" si="11"/>
        <v>层高</v>
      </c>
      <c r="R39" s="703" t="s">
        <v>14</v>
      </c>
      <c r="S39" s="704">
        <f t="shared" si="12"/>
        <v>100</v>
      </c>
      <c r="T39" s="703" t="s">
        <v>14</v>
      </c>
      <c r="U39" s="704">
        <f t="shared" si="13"/>
        <v>100</v>
      </c>
      <c r="V39" s="703" t="s">
        <v>14</v>
      </c>
      <c r="W39" s="704">
        <f t="shared" si="14"/>
        <v>100</v>
      </c>
      <c r="X39" s="1353"/>
      <c r="Y39" s="3693"/>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691"/>
      <c r="Q40" s="1350" t="str">
        <f t="shared" si="11"/>
        <v>单套建筑面积</v>
      </c>
      <c r="R40" s="703" t="s">
        <v>14</v>
      </c>
      <c r="S40" s="704">
        <f t="shared" si="12"/>
        <v>100</v>
      </c>
      <c r="T40" s="703" t="s">
        <v>14</v>
      </c>
      <c r="U40" s="704">
        <f t="shared" si="13"/>
        <v>100</v>
      </c>
      <c r="V40" s="703" t="s">
        <v>14</v>
      </c>
      <c r="W40" s="704">
        <f t="shared" si="14"/>
        <v>100</v>
      </c>
      <c r="X40" s="1353"/>
      <c r="Y40" s="3693"/>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1"/>
      <c r="Q41" s="705" t="str">
        <f t="shared" si="11"/>
        <v>进深比</v>
      </c>
      <c r="R41" s="706" t="s">
        <v>14</v>
      </c>
      <c r="S41" s="707">
        <f t="shared" si="12"/>
        <v>100</v>
      </c>
      <c r="T41" s="706" t="s">
        <v>14</v>
      </c>
      <c r="U41" s="707">
        <f t="shared" si="13"/>
        <v>100</v>
      </c>
      <c r="V41" s="706" t="s">
        <v>14</v>
      </c>
      <c r="W41" s="707">
        <f t="shared" si="14"/>
        <v>100</v>
      </c>
      <c r="X41" s="708"/>
      <c r="Y41" s="3693"/>
      <c r="Z41" s="709" t="str">
        <f t="shared" si="15"/>
        <v>进深比</v>
      </c>
      <c r="AA41" s="1351">
        <f t="shared" si="3"/>
        <v>1</v>
      </c>
      <c r="AB41" s="1351">
        <f t="shared" si="4"/>
        <v>1</v>
      </c>
      <c r="AC41" s="1351">
        <f t="shared" si="5"/>
        <v>1</v>
      </c>
    </row>
    <row r="42" spans="1:29" ht="15">
      <c r="A42" s="423"/>
      <c r="B42" s="375" t="s">
        <v>1792</v>
      </c>
      <c r="C42" s="1904" t="s">
        <v>3458</v>
      </c>
      <c r="D42" s="386">
        <v>100</v>
      </c>
      <c r="E42" s="1904" t="s">
        <v>3458</v>
      </c>
      <c r="F42" s="412">
        <f>SUMIF(122:122,E42,123:123)-SUMIF(122:122,C42,123:123)+100</f>
        <v>100</v>
      </c>
      <c r="G42" s="1904" t="s">
        <v>3458</v>
      </c>
      <c r="H42" s="386">
        <f>SUMIF(122:122,G42,123:123)-SUMIF(122:122,C42,123:123)+100</f>
        <v>100</v>
      </c>
      <c r="I42" s="1904" t="s">
        <v>3458</v>
      </c>
      <c r="J42" s="386">
        <f>SUMIF(122:122,I42,123:123)-SUMIF(122:122,C42,123:123)+100</f>
        <v>100</v>
      </c>
      <c r="K42" s="561">
        <v>1</v>
      </c>
      <c r="L42" s="2719"/>
      <c r="M42" s="2713"/>
      <c r="N42" s="2713"/>
      <c r="O42" s="2713"/>
      <c r="P42" s="3691"/>
      <c r="Q42" s="1350" t="str">
        <f t="shared" si="11"/>
        <v>内部装修</v>
      </c>
      <c r="R42" s="703" t="s">
        <v>14</v>
      </c>
      <c r="S42" s="704">
        <f t="shared" si="12"/>
        <v>100</v>
      </c>
      <c r="T42" s="703" t="s">
        <v>14</v>
      </c>
      <c r="U42" s="704">
        <f t="shared" si="13"/>
        <v>100</v>
      </c>
      <c r="V42" s="703" t="s">
        <v>14</v>
      </c>
      <c r="W42" s="704">
        <f t="shared" si="14"/>
        <v>100</v>
      </c>
      <c r="X42" s="1353"/>
      <c r="Y42" s="3693"/>
      <c r="Z42" s="1354" t="str">
        <f t="shared" si="15"/>
        <v>内部装修</v>
      </c>
      <c r="AA42" s="1351">
        <f t="shared" si="3"/>
        <v>1</v>
      </c>
      <c r="AB42" s="1351">
        <f t="shared" si="4"/>
        <v>1</v>
      </c>
      <c r="AC42" s="1351">
        <f t="shared" si="5"/>
        <v>1</v>
      </c>
    </row>
    <row r="43" spans="1:29" ht="15">
      <c r="A43" s="423"/>
      <c r="B43" s="375" t="s">
        <v>1707</v>
      </c>
      <c r="C43" s="1904" t="s">
        <v>3404</v>
      </c>
      <c r="D43" s="386">
        <v>100</v>
      </c>
      <c r="E43" s="1904" t="s">
        <v>3404</v>
      </c>
      <c r="F43" s="412">
        <f>SUMIF(124:124,E43,125:125)-SUMIF(124:124,C43,125:125)+100</f>
        <v>100</v>
      </c>
      <c r="G43" s="1904" t="s">
        <v>3404</v>
      </c>
      <c r="H43" s="386">
        <f>SUMIF(124:124,G43,125:125)-SUMIF(124:124,C43,125:125)+100</f>
        <v>100</v>
      </c>
      <c r="I43" s="1904" t="s">
        <v>3404</v>
      </c>
      <c r="J43" s="386">
        <f>SUMIF(124:124,I43,125:125)-SUMIF(124:124,C43,125:125)+100</f>
        <v>100</v>
      </c>
      <c r="K43" s="561">
        <v>1</v>
      </c>
      <c r="L43" s="2719"/>
      <c r="M43" s="2713"/>
      <c r="N43" s="2713"/>
      <c r="O43" s="2713"/>
      <c r="P43" s="3691"/>
      <c r="Q43" s="1350" t="str">
        <f t="shared" si="11"/>
        <v>内部装修维护情况</v>
      </c>
      <c r="R43" s="703" t="s">
        <v>14</v>
      </c>
      <c r="S43" s="704">
        <f t="shared" si="12"/>
        <v>100</v>
      </c>
      <c r="T43" s="703" t="s">
        <v>14</v>
      </c>
      <c r="U43" s="704">
        <f t="shared" si="13"/>
        <v>100</v>
      </c>
      <c r="V43" s="703" t="s">
        <v>14</v>
      </c>
      <c r="W43" s="704">
        <f t="shared" si="14"/>
        <v>100</v>
      </c>
      <c r="X43" s="1353"/>
      <c r="Y43" s="3693"/>
      <c r="Z43" s="1354" t="str">
        <f t="shared" si="15"/>
        <v>内部装修维护情况</v>
      </c>
      <c r="AA43" s="1351">
        <f t="shared" si="3"/>
        <v>1</v>
      </c>
      <c r="AB43" s="1351">
        <f t="shared" si="4"/>
        <v>1</v>
      </c>
      <c r="AC43" s="1351">
        <f t="shared" si="5"/>
        <v>1</v>
      </c>
    </row>
    <row r="44" spans="1:29" s="108" customFormat="1" ht="15">
      <c r="A44" s="424"/>
      <c r="B44" s="1131">
        <v>111</v>
      </c>
      <c r="C44" s="420">
        <v>2013</v>
      </c>
      <c r="D44" s="127">
        <v>100</v>
      </c>
      <c r="E44" s="385">
        <v>2014</v>
      </c>
      <c r="F44" s="376">
        <f>SUMIF(126:126,E44,127:127)-SUMIF(126:126,C44,127:127)+100</f>
        <v>100</v>
      </c>
      <c r="G44" s="385">
        <v>2014</v>
      </c>
      <c r="H44" s="127">
        <f>SUMIF(126:126,G44,127:127)-SUMIF(126:126,C44,127:127)+100</f>
        <v>100</v>
      </c>
      <c r="I44" s="385">
        <v>2017</v>
      </c>
      <c r="J44" s="127">
        <f>SUMIF(126:126,I44,127:127)-SUMIF(126:126,C44,127:127)+100</f>
        <v>100</v>
      </c>
      <c r="K44" s="562"/>
      <c r="L44" s="2714"/>
      <c r="M44" s="2715"/>
      <c r="N44" s="2715"/>
      <c r="O44" s="2715"/>
      <c r="P44" s="3691"/>
      <c r="Q44" s="1341">
        <f t="shared" si="11"/>
        <v>111</v>
      </c>
      <c r="R44" s="699" t="s">
        <v>14</v>
      </c>
      <c r="S44" s="700">
        <f t="shared" si="12"/>
        <v>100</v>
      </c>
      <c r="T44" s="699" t="s">
        <v>14</v>
      </c>
      <c r="U44" s="700">
        <f t="shared" si="13"/>
        <v>100</v>
      </c>
      <c r="V44" s="699" t="s">
        <v>14</v>
      </c>
      <c r="W44" s="700">
        <f t="shared" si="14"/>
        <v>100</v>
      </c>
      <c r="X44" s="701"/>
      <c r="Y44" s="3693"/>
      <c r="Z44" s="52">
        <f t="shared" si="15"/>
        <v>111</v>
      </c>
      <c r="AA44" s="702">
        <f t="shared" si="3"/>
        <v>1</v>
      </c>
      <c r="AB44" s="702">
        <f t="shared" si="4"/>
        <v>1</v>
      </c>
      <c r="AC44" s="702">
        <f t="shared" si="5"/>
        <v>1</v>
      </c>
    </row>
    <row r="45" spans="1:29" ht="15">
      <c r="A45" s="423"/>
      <c r="B45" s="1131">
        <v>111</v>
      </c>
      <c r="C45" s="3452"/>
      <c r="D45" s="386">
        <v>100</v>
      </c>
      <c r="E45" s="3452"/>
      <c r="F45" s="412">
        <f>SUMIF(128:128,E45,129:129)-SUMIF(128:128,C45,129:129)+100</f>
        <v>100</v>
      </c>
      <c r="G45" s="3452"/>
      <c r="H45" s="386">
        <f>SUMIF(128:128,G45,129:129)-SUMIF(128:128,C45,129:129)+100</f>
        <v>100</v>
      </c>
      <c r="I45" s="3452"/>
      <c r="J45" s="386">
        <f>SUMIF(128:128,I45,129:129)-SUMIF(128:128,C45,129:129)+100</f>
        <v>100</v>
      </c>
      <c r="K45" s="562"/>
      <c r="L45" s="2719"/>
      <c r="M45" s="2713"/>
      <c r="N45" s="2713"/>
      <c r="O45" s="2713"/>
      <c r="P45" s="3691"/>
      <c r="Q45" s="1350">
        <f t="shared" si="11"/>
        <v>111</v>
      </c>
      <c r="R45" s="703" t="s">
        <v>14</v>
      </c>
      <c r="S45" s="704">
        <f t="shared" si="12"/>
        <v>100</v>
      </c>
      <c r="T45" s="703" t="s">
        <v>14</v>
      </c>
      <c r="U45" s="704">
        <f t="shared" si="13"/>
        <v>100</v>
      </c>
      <c r="V45" s="703" t="s">
        <v>14</v>
      </c>
      <c r="W45" s="704">
        <f t="shared" si="14"/>
        <v>100</v>
      </c>
      <c r="X45" s="1353"/>
      <c r="Y45" s="369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351">
        <f t="shared" si="5"/>
        <v>1</v>
      </c>
    </row>
    <row r="47" spans="1:29" ht="15">
      <c r="A47" s="430" t="s">
        <v>1708</v>
      </c>
      <c r="B47" s="431"/>
      <c r="C47" s="1152" t="s">
        <v>0</v>
      </c>
      <c r="D47" s="1153"/>
      <c r="E47" s="1154">
        <v>35481</v>
      </c>
      <c r="F47" s="1155"/>
      <c r="G47" s="1156">
        <v>26765</v>
      </c>
      <c r="H47" s="1157"/>
      <c r="I47" s="1154">
        <v>60808</v>
      </c>
      <c r="J47" s="1157"/>
      <c r="K47" s="712"/>
      <c r="L47" s="2721"/>
      <c r="M47" s="2722"/>
      <c r="N47" s="2713"/>
      <c r="O47" s="2722"/>
      <c r="P47" s="3695" t="str">
        <f>A47</f>
        <v>成交单价（元/平方米）</v>
      </c>
      <c r="Q47" s="3695"/>
      <c r="R47" s="3657">
        <f>E47</f>
        <v>35481</v>
      </c>
      <c r="S47" s="3657"/>
      <c r="T47" s="3657">
        <f>G47</f>
        <v>26765</v>
      </c>
      <c r="U47" s="3657"/>
      <c r="V47" s="3657">
        <f>I47</f>
        <v>60808</v>
      </c>
      <c r="W47" s="3657"/>
      <c r="X47" s="688"/>
      <c r="Y47" s="710"/>
      <c r="Z47" s="688"/>
      <c r="AA47" s="688"/>
      <c r="AB47" s="688"/>
      <c r="AC47" s="688"/>
    </row>
    <row r="48" spans="1:29" ht="15.75" thickBot="1">
      <c r="A48" s="437" t="s">
        <v>1793</v>
      </c>
      <c r="B48" s="438"/>
      <c r="C48" s="1158">
        <f>R49</f>
        <v>30647</v>
      </c>
      <c r="D48" s="2315" t="s">
        <v>2135</v>
      </c>
      <c r="E48" s="1159">
        <f>R48</f>
        <v>32492</v>
      </c>
      <c r="F48" s="2316"/>
      <c r="G48" s="1158">
        <f>T48</f>
        <v>24991</v>
      </c>
      <c r="H48" s="2316"/>
      <c r="I48" s="1159">
        <f>V48</f>
        <v>34457</v>
      </c>
      <c r="J48" s="2316"/>
      <c r="K48" s="2318">
        <f>F48+H48+J48</f>
        <v>0</v>
      </c>
      <c r="L48" s="2721"/>
      <c r="M48" s="2722"/>
      <c r="N48" s="2713"/>
      <c r="O48" s="2722"/>
      <c r="P48" s="3695" t="str">
        <f>A48</f>
        <v>比较价值（元/平方米）</v>
      </c>
      <c r="Q48" s="3695"/>
      <c r="R48" s="3696">
        <f>IF(F1="售价",ROUND(PRODUCT(R47,AA7:AA46),0),ROUND(PRODUCT(R47,AA7:AA46),1))</f>
        <v>32492</v>
      </c>
      <c r="S48" s="3696"/>
      <c r="T48" s="3696">
        <f>IF(F1="售价",ROUND(PRODUCT(T47,AB7:AB46),0),ROUND(PRODUCT(T47,AB7:AB46),1))</f>
        <v>24991</v>
      </c>
      <c r="U48" s="3696"/>
      <c r="V48" s="3696">
        <f>IF(F1="售价",ROUND(PRODUCT(V47,AC7:AC46),0),ROUND(PRODUCT(V47,AC7:AC46),1))</f>
        <v>34457</v>
      </c>
      <c r="W48" s="3696"/>
      <c r="X48" s="688"/>
      <c r="Y48" s="688"/>
      <c r="Z48" s="688"/>
      <c r="AA48" s="688"/>
      <c r="AB48" s="688"/>
      <c r="AC48" s="688"/>
    </row>
    <row r="49" spans="1:29" ht="15.75" thickBot="1">
      <c r="A49" s="441" t="s">
        <v>1794</v>
      </c>
      <c r="B49" s="442"/>
      <c r="C49" s="1161">
        <f>R49</f>
        <v>30647</v>
      </c>
      <c r="D49" s="1161"/>
      <c r="E49" s="1161"/>
      <c r="F49" s="1161"/>
      <c r="G49" s="1161"/>
      <c r="H49" s="1161"/>
      <c r="I49" s="1161"/>
      <c r="J49" s="1161"/>
      <c r="K49" s="713"/>
      <c r="L49" s="2721"/>
      <c r="M49" s="2722"/>
      <c r="N49" s="2713"/>
      <c r="O49" s="2722"/>
      <c r="P49" s="3697" t="str">
        <f>A49</f>
        <v>估价对象XX用房的比较价值（楼面单价，元/平方米）</v>
      </c>
      <c r="Q49" s="3698"/>
      <c r="R49" s="3699">
        <f>IF(F1="售价",ROUND(IF(D48="简单平均",AVERAGE(R48:V48),R48*F48+T48*H48+V48*J48),0),ROUND(IF(D48="简单平均",AVERAGE(R48:V48),R48*F48+T48*H48+V48*J48),1))</f>
        <v>30647</v>
      </c>
      <c r="S49" s="3699"/>
      <c r="T49" s="3699"/>
      <c r="U49" s="3699"/>
      <c r="V49" s="3699"/>
      <c r="W49" s="3699"/>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9.1991874923057937E-2</v>
      </c>
      <c r="F52" s="449" t="str">
        <f>IF(OR(E52&gt;=0.3,E52&lt;=-0.3),"超过30%","")</f>
        <v/>
      </c>
      <c r="G52" s="448">
        <f>IF(G47&lt;G48,G48/G47-1,G47/G48-1)</f>
        <v>7.0985554799728012E-2</v>
      </c>
      <c r="H52" s="449" t="str">
        <f>IF(OR(G52&gt;=0.3,G52&lt;=-0.3),"超过30%","")</f>
        <v/>
      </c>
      <c r="I52" s="448">
        <f>IF(I47&lt;I48,I48/I47-1,I47/I48-1)</f>
        <v>0.76475026845053251</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0.30014805329918781</v>
      </c>
      <c r="F53" s="449" t="str">
        <f>IF(OR(E53&gt;=0.2,E53&lt;=-0.2),"超过20%","")</f>
        <v>超过20%</v>
      </c>
      <c r="G53" s="448">
        <f>IF(G48&lt;I48,I48/G48-1,G48/I48-1)</f>
        <v>0.37877635948941624</v>
      </c>
      <c r="H53" s="449" t="str">
        <f>IF(OR(G53&gt;=0.2,G53&lt;=-0.2),"超过20%","")</f>
        <v>超过20%</v>
      </c>
      <c r="I53" s="448">
        <f>IF(I48&lt;E48,E48/I48-1,I48/E48-1)</f>
        <v>6.0476424966145581E-2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0.32564916869045391</v>
      </c>
      <c r="F54" s="449" t="str">
        <f>IF(OR(E54&gt;=0.3,E54&lt;=-0.3),"超过30%","")</f>
        <v>超过30%</v>
      </c>
      <c r="G54" s="448">
        <f>IF(G47&lt;I47,I47/G47-1,G47/I47-1)</f>
        <v>1.2719222865682793</v>
      </c>
      <c r="H54" s="449" t="str">
        <f>IF(OR(G54&gt;=0.3,G54&lt;=-0.3),"超过30%","")</f>
        <v>超过30%</v>
      </c>
      <c r="I54" s="448">
        <f>IF(I47&lt;E47,E47/I47-1,I47/E47-1)</f>
        <v>0.71381866351004764</v>
      </c>
      <c r="J54" s="449" t="str">
        <f>IF(OR(I54&gt;=0.3,I54&lt;=-0.3),"超过30%","")</f>
        <v>超过30%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2023-6</v>
      </c>
      <c r="D58" s="1183">
        <f>EDATE(C58,-1)</f>
        <v>45047</v>
      </c>
      <c r="E58" s="1183">
        <f t="shared" ref="E58:N58" si="16">EDATE(D58,-1)</f>
        <v>45017</v>
      </c>
      <c r="F58" s="1183">
        <f t="shared" si="16"/>
        <v>44986</v>
      </c>
      <c r="G58" s="1183">
        <f t="shared" si="16"/>
        <v>44958</v>
      </c>
      <c r="H58" s="1183">
        <f t="shared" si="16"/>
        <v>44927</v>
      </c>
      <c r="I58" s="1183">
        <f t="shared" si="16"/>
        <v>44896</v>
      </c>
      <c r="J58" s="1183">
        <f t="shared" si="16"/>
        <v>44866</v>
      </c>
      <c r="K58" s="1183">
        <f t="shared" si="16"/>
        <v>44835</v>
      </c>
      <c r="L58" s="1183">
        <f t="shared" si="16"/>
        <v>44805</v>
      </c>
      <c r="M58" s="1183">
        <f t="shared" si="16"/>
        <v>44774</v>
      </c>
      <c r="N58" s="1183">
        <f t="shared" si="16"/>
        <v>44743</v>
      </c>
      <c r="O58" s="1183">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47" t="s">
        <v>3400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3448</v>
      </c>
      <c r="D65" s="532" t="s">
        <v>3449</v>
      </c>
      <c r="E65" s="532" t="s">
        <v>3486</v>
      </c>
      <c r="F65" s="532" t="s">
        <v>3451</v>
      </c>
      <c r="G65" s="532" t="s">
        <v>3452</v>
      </c>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v>105</v>
      </c>
      <c r="E66" s="485">
        <v>110</v>
      </c>
      <c r="F66" s="485">
        <v>115</v>
      </c>
      <c r="G66" s="485">
        <v>120</v>
      </c>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50" t="s">
        <v>3425</v>
      </c>
      <c r="D86" s="3450" t="s">
        <v>3426</v>
      </c>
      <c r="E86" s="3450" t="s">
        <v>3428</v>
      </c>
      <c r="F86" s="3450" t="s">
        <v>3429</v>
      </c>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0" t="s">
        <v>3430</v>
      </c>
      <c r="D88" s="3450" t="s">
        <v>3431</v>
      </c>
      <c r="E88" s="3450" t="s">
        <v>3432</v>
      </c>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50" t="s">
        <v>3433</v>
      </c>
      <c r="D90" s="3450" t="s">
        <v>3431</v>
      </c>
      <c r="E90" s="3450" t="s">
        <v>3434</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3442</v>
      </c>
      <c r="D92" s="503" t="s">
        <v>3461</v>
      </c>
      <c r="E92" s="503" t="s">
        <v>3457</v>
      </c>
      <c r="F92" s="503" t="s">
        <v>3483</v>
      </c>
      <c r="G92" s="3450" t="s">
        <v>3488</v>
      </c>
      <c r="H92" s="503" t="s">
        <v>3489</v>
      </c>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(C93+E93)/2</f>
        <v>87.5</v>
      </c>
      <c r="E93" s="485">
        <v>75</v>
      </c>
      <c r="F93" s="485">
        <v>60</v>
      </c>
      <c r="G93" s="485">
        <v>60</v>
      </c>
      <c r="H93" s="485">
        <f>(C93+G93)/2</f>
        <v>80</v>
      </c>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49" t="s">
        <v>3443</v>
      </c>
      <c r="D100" s="3449" t="s">
        <v>3478</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200(含)-300</v>
      </c>
      <c r="G102" s="527" t="str">
        <f t="shared" si="23"/>
        <v>300(含)-400</v>
      </c>
      <c r="H102" s="527" t="str">
        <f t="shared" si="23"/>
        <v>400(含)-500</v>
      </c>
      <c r="I102" s="527" t="str">
        <f t="shared" si="23"/>
        <v>500(含)-</v>
      </c>
      <c r="J102" s="527" t="str">
        <f t="shared" si="23"/>
        <v>(含)-</v>
      </c>
      <c r="K102" s="527" t="str">
        <f t="shared" si="23"/>
        <v>(含)-</v>
      </c>
      <c r="L102" s="527"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200</v>
      </c>
      <c r="G103" s="544">
        <v>300</v>
      </c>
      <c r="H103" s="544">
        <v>400</v>
      </c>
      <c r="I103" s="544">
        <v>500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95</v>
      </c>
      <c r="E104" s="485">
        <f>D104-2</f>
        <v>93</v>
      </c>
      <c r="F104" s="485">
        <f t="shared" ref="F104:G104" si="24">E104-2</f>
        <v>91</v>
      </c>
      <c r="G104" s="485">
        <f t="shared" si="24"/>
        <v>89</v>
      </c>
      <c r="H104" s="485">
        <f>G104-2</f>
        <v>87</v>
      </c>
      <c r="I104" s="485">
        <f>H104-2</f>
        <v>85</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50" t="s">
        <v>3392</v>
      </c>
      <c r="D105" s="503" t="s">
        <v>3444</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50" t="s">
        <v>3407</v>
      </c>
      <c r="D107" s="3450" t="s">
        <v>3408</v>
      </c>
      <c r="E107" s="3450" t="s">
        <v>3409</v>
      </c>
      <c r="F107" s="3451" t="s">
        <v>3410</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50" t="s">
        <v>3415</v>
      </c>
      <c r="D112" s="3450" t="s">
        <v>3416</v>
      </c>
      <c r="E112" s="3450" t="s">
        <v>3417</v>
      </c>
      <c r="F112" s="3450" t="s">
        <v>3418</v>
      </c>
      <c r="G112" s="3450" t="s">
        <v>3419</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50" t="s">
        <v>3411</v>
      </c>
      <c r="D114" s="3450" t="s">
        <v>3413</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50" t="s">
        <v>3414</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50" t="s">
        <v>3407</v>
      </c>
      <c r="D122" s="3450" t="s">
        <v>3408</v>
      </c>
      <c r="E122" s="3450" t="s">
        <v>3409</v>
      </c>
      <c r="F122" s="3451" t="s">
        <v>3410</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3491</v>
      </c>
      <c r="D1" s="1360" t="s">
        <v>43</v>
      </c>
      <c r="E1" s="1361" t="s">
        <v>678</v>
      </c>
      <c r="F1" s="1060">
        <f ca="1">J53</f>
        <v>27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f ca="1">ROUND(D2/10000,4)</f>
        <v>1381.5361</v>
      </c>
      <c r="C2" s="1385" t="s">
        <v>879</v>
      </c>
      <c r="D2" s="1469">
        <f ca="1">C40+J29+L46</f>
        <v>13815361</v>
      </c>
      <c r="E2" s="1386" t="s">
        <v>880</v>
      </c>
      <c r="F2" s="1387"/>
      <c r="G2" s="2703"/>
      <c r="H2" s="2692"/>
      <c r="I2" s="2692"/>
      <c r="J2" s="2692"/>
      <c r="K2" s="2693"/>
      <c r="L2" s="2692"/>
      <c r="M2" s="2692"/>
    </row>
    <row r="3" spans="1:37" ht="18" customHeight="1" thickBot="1">
      <c r="A3" s="1388" t="s">
        <v>881</v>
      </c>
      <c r="B3" s="1389">
        <f ca="1">IF(ISERROR(D2/F43),0,ROUND(D2/F43,0))</f>
        <v>24912</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957621</v>
      </c>
      <c r="D5" s="1362" t="s">
        <v>889</v>
      </c>
      <c r="E5" s="1069"/>
      <c r="F5" s="1070"/>
      <c r="G5" s="1382"/>
      <c r="H5" s="299">
        <v>1</v>
      </c>
      <c r="I5" s="300" t="s">
        <v>888</v>
      </c>
      <c r="J5" s="1068">
        <f ca="1">J6+J10+J12</f>
        <v>0</v>
      </c>
      <c r="K5" s="1362" t="s">
        <v>889</v>
      </c>
      <c r="L5" s="1069"/>
      <c r="M5" s="1070"/>
    </row>
    <row r="6" spans="1:37" ht="18" customHeight="1">
      <c r="A6" s="1067" t="s">
        <v>398</v>
      </c>
      <c r="B6" s="3700" t="s">
        <v>694</v>
      </c>
      <c r="C6" s="1072">
        <f ca="1">ROUND(F6*F8*F7*(1-F9),0)</f>
        <v>956425</v>
      </c>
      <c r="D6" s="155" t="s">
        <v>2103</v>
      </c>
      <c r="E6" s="302" t="s">
        <v>696</v>
      </c>
      <c r="F6" s="303">
        <f ca="1">INDIRECT("'数据-取费表'!u"&amp;$G$1)</f>
        <v>5.25</v>
      </c>
      <c r="G6" s="1382"/>
      <c r="H6" s="1067" t="s">
        <v>398</v>
      </c>
      <c r="I6" s="3700" t="s">
        <v>694</v>
      </c>
      <c r="J6" s="301">
        <f ca="1">ROUND(M6*M8*M7*(1-M9),0)</f>
        <v>0</v>
      </c>
      <c r="K6" s="1374" t="s">
        <v>2104</v>
      </c>
      <c r="L6" s="302" t="s">
        <v>696</v>
      </c>
      <c r="M6" s="303">
        <f ca="1">INDIRECT("'数据-取费表'!z"&amp;$G$1)</f>
        <v>0</v>
      </c>
    </row>
    <row r="7" spans="1:37" ht="18" customHeight="1">
      <c r="A7" s="1071"/>
      <c r="B7" s="3701"/>
      <c r="C7" s="1073"/>
      <c r="D7" s="307"/>
      <c r="E7" s="1074" t="s">
        <v>697</v>
      </c>
      <c r="F7" s="303">
        <f ca="1">IF(INDIRECT("'数据-取费表'!ah"&amp;$G$1)="",INDIRECT("'数据-取费表'!k"&amp;$G$1),INDIRECT("'数据-取费表'!ah"&amp;$G$1))</f>
        <v>554.57000000000005</v>
      </c>
      <c r="G7" s="1382"/>
      <c r="H7" s="304"/>
      <c r="I7" s="3701"/>
      <c r="J7" s="306"/>
      <c r="K7" s="307"/>
      <c r="L7" s="302" t="s">
        <v>697</v>
      </c>
      <c r="M7" s="303">
        <f ca="1">F7</f>
        <v>554.57000000000005</v>
      </c>
    </row>
    <row r="8" spans="1:37" ht="18" customHeight="1">
      <c r="A8" s="304"/>
      <c r="B8" s="3701"/>
      <c r="C8" s="306"/>
      <c r="D8" s="307"/>
      <c r="E8" s="302" t="s">
        <v>698</v>
      </c>
      <c r="F8" s="303">
        <f ca="1">INDIRECT("'数据-取费表'!ai"&amp;$G$1)</f>
        <v>365</v>
      </c>
      <c r="G8" s="1382"/>
      <c r="H8" s="304"/>
      <c r="I8" s="3701"/>
      <c r="J8" s="306"/>
      <c r="K8" s="307"/>
      <c r="L8" s="302" t="s">
        <v>698</v>
      </c>
      <c r="M8" s="303">
        <f ca="1">INDIRECT("'数据-取费表'!ai"&amp;$G$1)</f>
        <v>365</v>
      </c>
    </row>
    <row r="9" spans="1:37" ht="18" customHeight="1">
      <c r="A9" s="304"/>
      <c r="B9" s="3702"/>
      <c r="C9" s="306"/>
      <c r="D9" s="307"/>
      <c r="E9" s="302" t="s">
        <v>699</v>
      </c>
      <c r="F9" s="312">
        <f ca="1">INDIRECT("'数据-取费表'!w"&amp;$G$1)</f>
        <v>0.1</v>
      </c>
      <c r="G9" s="1382"/>
      <c r="H9" s="304"/>
      <c r="I9" s="3702"/>
      <c r="J9" s="306"/>
      <c r="K9" s="307"/>
      <c r="L9" s="313" t="s">
        <v>699</v>
      </c>
      <c r="M9" s="314">
        <f ca="1">INDIRECT("'数据-取费表'!ab"&amp;$G$1)</f>
        <v>0</v>
      </c>
    </row>
    <row r="10" spans="1:37" ht="18" customHeight="1">
      <c r="A10" s="1067" t="s">
        <v>402</v>
      </c>
      <c r="B10" s="1363" t="s">
        <v>700</v>
      </c>
      <c r="C10" s="316">
        <f ca="1">ROUND(IF(F10="押一",C6/12*F11,IF(F10="押二",C6/12*2*F11,IF(F10="押三",C6/12*3*F11,C11*F11))),0)</f>
        <v>1196</v>
      </c>
      <c r="D10" s="1364" t="s">
        <v>2113</v>
      </c>
      <c r="E10" s="313" t="s">
        <v>701</v>
      </c>
      <c r="F10" s="1114" t="s">
        <v>3469</v>
      </c>
      <c r="G10" s="1382"/>
      <c r="H10" s="1067" t="s">
        <v>402</v>
      </c>
      <c r="I10" s="1363" t="s">
        <v>700</v>
      </c>
      <c r="J10" s="301">
        <f ca="1">ROUND(IF(M10="押一",J6/12*M11,IF(M10="押二",J6/12*2*M11,IF(M10="押三",J6/12*3*M11,J11*M11))),0)</f>
        <v>0</v>
      </c>
      <c r="K10" s="1375" t="s">
        <v>2115</v>
      </c>
      <c r="L10" s="313" t="s">
        <v>701</v>
      </c>
      <c r="M10" s="1114" t="s">
        <v>3469</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2335914</v>
      </c>
      <c r="D13" s="1079" t="s">
        <v>705</v>
      </c>
      <c r="E13" s="1079" t="s">
        <v>706</v>
      </c>
      <c r="F13" s="1080">
        <f ca="1">INDIRECT("'数据-取费表'!y"&amp;$G$1)</f>
        <v>0.83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1940995</v>
      </c>
      <c r="D14" s="1343" t="s">
        <v>708</v>
      </c>
      <c r="E14" s="1340"/>
      <c r="F14" s="319"/>
      <c r="G14" s="1382"/>
      <c r="H14" s="980" t="s">
        <v>398</v>
      </c>
      <c r="I14" s="302" t="s">
        <v>709</v>
      </c>
      <c r="J14" s="21">
        <f ca="1">C29</f>
        <v>2814354</v>
      </c>
      <c r="K14" s="12"/>
      <c r="L14" s="805"/>
      <c r="M14" s="806"/>
    </row>
    <row r="15" spans="1:37" s="1395" customFormat="1" ht="18" customHeight="1" thickBot="1">
      <c r="A15" s="980" t="s">
        <v>399</v>
      </c>
      <c r="B15" s="302" t="s">
        <v>710</v>
      </c>
      <c r="C15" s="21">
        <f ca="1">ROUND(C14*F15,0)</f>
        <v>58230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28144</v>
      </c>
      <c r="K16" s="1085" t="s">
        <v>715</v>
      </c>
      <c r="L16" s="1086"/>
      <c r="M16" s="1070"/>
    </row>
    <row r="17" spans="1:37" s="1395" customFormat="1" ht="18" customHeight="1">
      <c r="A17" s="980" t="s">
        <v>681</v>
      </c>
      <c r="B17" s="302" t="s">
        <v>716</v>
      </c>
      <c r="C17" s="21">
        <f ca="1">ROUND(F17*(F43+INDIRECT("'数据-取费表'!S"&amp;$G$1)),0)</f>
        <v>110914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29115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2139254</v>
      </c>
      <c r="D19" s="131" t="s">
        <v>726</v>
      </c>
      <c r="E19" s="1358"/>
      <c r="F19" s="23"/>
      <c r="G19" s="1382"/>
      <c r="H19" s="980" t="s">
        <v>399</v>
      </c>
      <c r="I19" s="302" t="s">
        <v>727</v>
      </c>
      <c r="J19" s="21">
        <f ca="1">IF(K19="按租金收入计税",ROUND(J6*M19/(1+'数据-取费表'!C42),0),ROUND(C29*M19*0.7,0))</f>
        <v>0</v>
      </c>
      <c r="K19" s="1368" t="s">
        <v>3336</v>
      </c>
      <c r="L19" s="302" t="s">
        <v>712</v>
      </c>
      <c r="M19" s="322">
        <f>IF(K19="按租金收入计税",'数据-取费表'!B51,'数据-取费表'!B50)</f>
        <v>0.12</v>
      </c>
    </row>
    <row r="20" spans="1:37" s="1395" customFormat="1" ht="18" customHeight="1">
      <c r="A20" s="980" t="s">
        <v>402</v>
      </c>
      <c r="B20" s="302" t="s">
        <v>728</v>
      </c>
      <c r="C20" s="21">
        <f ca="1">ROUND(C19*F20,0)</f>
        <v>42785</v>
      </c>
      <c r="D20" s="323" t="s">
        <v>729</v>
      </c>
      <c r="E20" s="302" t="s">
        <v>712</v>
      </c>
      <c r="F20" s="322">
        <f>'数据-取费表'!B37</f>
        <v>0.02</v>
      </c>
      <c r="G20" s="1394"/>
      <c r="H20" s="980" t="s">
        <v>680</v>
      </c>
      <c r="I20" s="155" t="s">
        <v>730</v>
      </c>
      <c r="J20" s="22">
        <f ca="1">ROUND(M20*M21,0)</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28144</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90555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-28144</v>
      </c>
      <c r="K25" s="1093" t="s">
        <v>753</v>
      </c>
      <c r="L25" s="1094"/>
      <c r="M25" s="1095"/>
    </row>
    <row r="26" spans="1:37" ht="18" customHeight="1">
      <c r="A26" s="980" t="s">
        <v>397</v>
      </c>
      <c r="B26" s="302" t="s">
        <v>754</v>
      </c>
      <c r="C26" s="21">
        <f ca="1">ROUND((C19+C20)*F26,0)</f>
        <v>327306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2814354</v>
      </c>
      <c r="D29" s="1090"/>
      <c r="E29" s="1088"/>
      <c r="F29" s="1091"/>
      <c r="G29" s="1394"/>
      <c r="H29" s="334" t="s">
        <v>396</v>
      </c>
      <c r="I29" s="335" t="s">
        <v>768</v>
      </c>
      <c r="J29" s="336">
        <f ca="1">ROUND(J26/(1+F40)^F41,0)</f>
        <v>0</v>
      </c>
      <c r="K29" s="337" t="s">
        <v>769</v>
      </c>
      <c r="L29" s="338"/>
      <c r="M29" s="339">
        <f ca="1">INDIRECT("'数据-取费表'!k"&amp;$G$1)</f>
        <v>554.57000000000005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199460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159404</v>
      </c>
      <c r="D31" s="1343" t="s">
        <v>720</v>
      </c>
      <c r="E31" s="1342" t="s">
        <v>770</v>
      </c>
      <c r="F31" s="2313" t="str">
        <f>IF(项目基本情况!B11="企业","——",IF(M47="住宅",IF(F6*F7*F8/12/(1+'数据-取费表'!F30)&gt;100000,4%,2.5%),IF(F6*F7*F8/12/(1+'数据-取费表'!F30)&gt;100000,12%,7%)))</f>
        <v>——</v>
      </c>
      <c r="G31" s="1382"/>
      <c r="H31" s="2805" t="s">
        <v>2307</v>
      </c>
      <c r="I31" s="1396"/>
      <c r="J31" s="1397"/>
      <c r="K31" s="2473"/>
      <c r="L31" s="2695"/>
      <c r="M31" s="2696"/>
    </row>
    <row r="32" spans="1:37" ht="18" customHeight="1">
      <c r="A32" s="980" t="s">
        <v>397</v>
      </c>
      <c r="B32" s="302" t="s">
        <v>723</v>
      </c>
      <c r="C32" s="21">
        <f ca="1">IF(项目基本情况!B11="自然人","——",ROUND(C6*F32/(1+'数据-取费表'!C42),0))</f>
        <v>50098</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109306</v>
      </c>
      <c r="D33" s="1368" t="s">
        <v>3336</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12</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28144</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2336</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9576</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758161</v>
      </c>
      <c r="D39" s="1093" t="s">
        <v>773</v>
      </c>
      <c r="E39" s="1094"/>
      <c r="F39" s="1095"/>
      <c r="G39" s="1382"/>
      <c r="H39" s="2697">
        <f ca="1">C39/C5</f>
        <v>0.79171300545831802</v>
      </c>
      <c r="I39" s="1396">
        <f ca="1">D2/F7</f>
        <v>24911.843410209709</v>
      </c>
      <c r="J39" s="1397"/>
      <c r="K39" s="2701"/>
      <c r="L39" s="2697"/>
      <c r="M39" s="2697"/>
    </row>
    <row r="40" spans="1:18" ht="18" customHeight="1">
      <c r="A40" s="299" t="s">
        <v>395</v>
      </c>
      <c r="B40" s="300" t="s">
        <v>774</v>
      </c>
      <c r="C40" s="301">
        <f ca="1">ROUND(C39*(1-((1+F42)/(1+F40))^F41)/(F40-F42),0)</f>
        <v>13674433</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27</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24658</v>
      </c>
      <c r="D43" s="337" t="s">
        <v>777</v>
      </c>
      <c r="E43" s="338" t="s">
        <v>778</v>
      </c>
      <c r="F43" s="339">
        <f ca="1">INDIRECT("'数据-取费表'!k"&amp;$G$1)</f>
        <v>554.57000000000005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3352</v>
      </c>
      <c r="B45" s="1398"/>
      <c r="C45" s="1470">
        <f ca="1">ROUND((C68-C40)/10000,4)</f>
        <v>-1409.8046999999999</v>
      </c>
      <c r="D45" s="3429" t="s">
        <v>3353</v>
      </c>
      <c r="E45" s="1398"/>
      <c r="F45" s="1398"/>
      <c r="O45" s="1401" t="s">
        <v>808</v>
      </c>
      <c r="P45" s="1459"/>
      <c r="Q45" s="1459"/>
      <c r="R45" s="1459"/>
    </row>
    <row r="46" spans="1:18" s="1382" customFormat="1" ht="13.5" thickBot="1">
      <c r="A46" s="1402" t="s">
        <v>809</v>
      </c>
      <c r="C46" s="1403">
        <f ca="1">ROUND(C45,0)</f>
        <v>-1410</v>
      </c>
      <c r="D46" s="1404" t="str">
        <f>C2</f>
        <v>万元</v>
      </c>
      <c r="I46" s="1405" t="s">
        <v>810</v>
      </c>
      <c r="J46" s="1406"/>
      <c r="K46" s="1407"/>
      <c r="L46" s="1408">
        <f ca="1">IF(M47="住宅",0,IF(L48&gt;J51,L60,J60))</f>
        <v>140928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3392</v>
      </c>
      <c r="K47" s="1414" t="s">
        <v>816</v>
      </c>
      <c r="L47" s="1415">
        <f ca="1">INDIRECT("'数据-取费表'!d"&amp;$G$1)</f>
        <v>40</v>
      </c>
      <c r="M47" s="1378" t="str">
        <f>IF(ISNUMBER(FIND("住宅",C1)),"住宅","非住宅")</f>
        <v>非住宅</v>
      </c>
      <c r="O47" s="1416" t="s">
        <v>403</v>
      </c>
      <c r="P47" s="1417" t="s">
        <v>817</v>
      </c>
      <c r="Q47" s="1418">
        <f ca="1">C40+J29</f>
        <v>13674433</v>
      </c>
      <c r="R47" s="1418" t="s">
        <v>818</v>
      </c>
    </row>
    <row r="48" spans="1:18" s="1382" customFormat="1" ht="28.5" thickBot="1">
      <c r="A48" s="1108" t="s">
        <v>438</v>
      </c>
      <c r="B48" s="300" t="s">
        <v>692</v>
      </c>
      <c r="C48" s="1357">
        <f ca="1">C49+C53+C55</f>
        <v>0</v>
      </c>
      <c r="D48" s="1110"/>
      <c r="E48" s="1111"/>
      <c r="F48" s="960"/>
      <c r="G48" s="720"/>
      <c r="H48" s="721"/>
      <c r="I48" s="1419" t="s">
        <v>819</v>
      </c>
      <c r="J48" s="1420" t="s">
        <v>3393</v>
      </c>
      <c r="K48" s="1421" t="s">
        <v>820</v>
      </c>
      <c r="L48" s="1422">
        <f ca="1">INDIRECT("'数据-取费表'!f"&amp;$G$1)</f>
        <v>27</v>
      </c>
      <c r="O48" s="1416" t="s">
        <v>404</v>
      </c>
      <c r="P48" s="1417" t="s">
        <v>821</v>
      </c>
      <c r="Q48" s="1418">
        <f ca="1">J60</f>
        <v>140928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5">
        <f>'数据-取费表'!N18</f>
        <v>2013</v>
      </c>
      <c r="K49" s="1421" t="s">
        <v>824</v>
      </c>
      <c r="L49" s="1425"/>
      <c r="O49" s="1426" t="s">
        <v>405</v>
      </c>
      <c r="P49" s="1417" t="s">
        <v>825</v>
      </c>
      <c r="Q49" s="1418">
        <f ca="1">C29</f>
        <v>2814354</v>
      </c>
      <c r="R49" s="1418" t="s">
        <v>818</v>
      </c>
    </row>
    <row r="50" spans="1:18" s="1382" customFormat="1" ht="13.5" thickBot="1">
      <c r="A50" s="974"/>
      <c r="B50" s="977"/>
      <c r="C50" s="978"/>
      <c r="D50" s="951"/>
      <c r="E50" s="1054" t="s">
        <v>697</v>
      </c>
      <c r="F50" s="1055">
        <f ca="1">F7</f>
        <v>554.57000000000005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50</v>
      </c>
      <c r="K51" s="1432" t="s">
        <v>830</v>
      </c>
      <c r="L51" s="1433">
        <f ca="1">ROUND(-PV(INDIRECT("'数据-取费表'!h"&amp;$G$1),J51,(C39-C13*C76),0),0)</f>
        <v>10642610</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f>'数据-取费表'!J6+0.5%</f>
        <v>0.08</v>
      </c>
      <c r="K52" s="1435" t="s">
        <v>833</v>
      </c>
      <c r="L52" s="1436"/>
      <c r="O52" s="1426" t="s">
        <v>408</v>
      </c>
      <c r="P52" s="1417" t="s">
        <v>834</v>
      </c>
      <c r="Q52" s="1418">
        <f ca="1">J53</f>
        <v>27</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27</v>
      </c>
      <c r="K53" s="3703" t="s">
        <v>837</v>
      </c>
      <c r="L53" s="3704"/>
      <c r="O53" s="1416" t="s">
        <v>409</v>
      </c>
      <c r="P53" s="1417" t="s">
        <v>838</v>
      </c>
      <c r="Q53" s="1418">
        <f ca="1">Q47+Q48</f>
        <v>13815361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0.38300000000000001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2335914</v>
      </c>
      <c r="D56" s="1445"/>
      <c r="E56" s="1446"/>
      <c r="F56" s="1438"/>
      <c r="I56" s="1447" t="s">
        <v>842</v>
      </c>
      <c r="J56" s="1448" t="s">
        <v>3379</v>
      </c>
      <c r="K56" s="1419" t="s">
        <v>843</v>
      </c>
      <c r="L56" s="1422" t="str">
        <f ca="1">IF(L48&lt;J51,"——",L48-J51)</f>
        <v>——</v>
      </c>
      <c r="O56" s="1416" t="s">
        <v>403</v>
      </c>
      <c r="P56" s="1417" t="s">
        <v>817</v>
      </c>
      <c r="Q56" s="1418">
        <f ca="1">C40+J29</f>
        <v>13674433</v>
      </c>
      <c r="R56" s="1418" t="s">
        <v>818</v>
      </c>
    </row>
    <row r="57" spans="1:18" s="1382" customFormat="1" ht="24.75" thickBot="1">
      <c r="A57" s="1449"/>
      <c r="B57" s="948" t="s">
        <v>767</v>
      </c>
      <c r="C57" s="238">
        <f ca="1">C29</f>
        <v>2814354</v>
      </c>
      <c r="D57" s="1450"/>
      <c r="E57" s="1451"/>
      <c r="F57" s="1452"/>
      <c r="I57" s="1453" t="s">
        <v>844</v>
      </c>
      <c r="J57" s="1454">
        <f ca="1">IF(OR(M47="住宅",J51&lt;L48,J56="是"),"——",J51-L48)</f>
        <v>23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30480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1125742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140928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12</v>
      </c>
      <c r="I62" s="1460" t="s">
        <v>858</v>
      </c>
      <c r="J62" s="1461" t="s">
        <v>859</v>
      </c>
      <c r="K62" s="1461" t="s">
        <v>860</v>
      </c>
      <c r="L62" s="1461" t="s">
        <v>861</v>
      </c>
      <c r="M62" s="1462" t="s">
        <v>862</v>
      </c>
      <c r="O62" s="1416" t="s">
        <v>409</v>
      </c>
      <c r="P62" s="1417" t="s">
        <v>863</v>
      </c>
      <c r="Q62" s="1418">
        <f ca="1">Q56+Q57</f>
        <v>13674433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28144</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2336</v>
      </c>
      <c r="D65" s="962" t="s">
        <v>743</v>
      </c>
      <c r="E65" s="948" t="s">
        <v>744</v>
      </c>
      <c r="F65" s="330">
        <f t="shared" ca="1" si="0"/>
        <v>1E-3</v>
      </c>
      <c r="I65" s="1460" t="s">
        <v>867</v>
      </c>
      <c r="J65" s="1461">
        <v>40</v>
      </c>
      <c r="K65" s="1461">
        <v>30</v>
      </c>
      <c r="L65" s="1461">
        <v>50</v>
      </c>
      <c r="M65" s="1463">
        <v>0.02</v>
      </c>
      <c r="O65" s="1416" t="s">
        <v>403</v>
      </c>
      <c r="P65" s="1417" t="s">
        <v>868</v>
      </c>
      <c r="Q65" s="1418">
        <f ca="1">C40+J29</f>
        <v>13674433</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-30480</v>
      </c>
      <c r="D67" s="961" t="s">
        <v>753</v>
      </c>
      <c r="E67" s="966"/>
      <c r="F67" s="967"/>
      <c r="O67" s="1426" t="s">
        <v>405</v>
      </c>
      <c r="P67" s="1417" t="s">
        <v>850</v>
      </c>
      <c r="Q67" s="1464">
        <f ca="1">L51</f>
        <v>10642610</v>
      </c>
      <c r="R67" s="1418" t="s">
        <v>870</v>
      </c>
    </row>
    <row r="68" spans="1:18" s="1382" customFormat="1" ht="16.5" thickBot="1">
      <c r="A68" s="945" t="s">
        <v>395</v>
      </c>
      <c r="B68" s="946" t="s">
        <v>774</v>
      </c>
      <c r="C68" s="301">
        <f ca="1">ROUND(C67*(1-((1+F70)/(1+F68))^F69)/(F68-F70),0)</f>
        <v>-423614</v>
      </c>
      <c r="D68" s="963" t="s">
        <v>758</v>
      </c>
      <c r="E68" s="948" t="s">
        <v>759</v>
      </c>
      <c r="F68" s="312">
        <f ca="1">F40</f>
        <v>5.5E-2</v>
      </c>
      <c r="O68" s="1426" t="s">
        <v>406</v>
      </c>
      <c r="P68" s="1465" t="s">
        <v>871</v>
      </c>
      <c r="Q68" s="1418">
        <f ca="1">ROUND(Q69-Q70*Q71,0)</f>
        <v>582967</v>
      </c>
      <c r="R68" s="1418" t="s">
        <v>414</v>
      </c>
    </row>
    <row r="69" spans="1:18" s="1382" customFormat="1" ht="13.5" thickBot="1">
      <c r="A69" s="949"/>
      <c r="B69" s="950"/>
      <c r="C69" s="306"/>
      <c r="D69" s="968" t="s">
        <v>762</v>
      </c>
      <c r="E69" s="948" t="s">
        <v>763</v>
      </c>
      <c r="F69" s="333">
        <f ca="1">F41</f>
        <v>27</v>
      </c>
      <c r="O69" s="1426" t="s">
        <v>411</v>
      </c>
      <c r="P69" s="1465" t="s">
        <v>872</v>
      </c>
      <c r="Q69" s="1418">
        <f ca="1">C39</f>
        <v>758161</v>
      </c>
      <c r="R69" s="1418" t="s">
        <v>818</v>
      </c>
    </row>
    <row r="70" spans="1:18" s="1382" customFormat="1" ht="13.5" thickBot="1">
      <c r="A70" s="952"/>
      <c r="B70" s="953"/>
      <c r="C70" s="310"/>
      <c r="D70" s="964"/>
      <c r="E70" s="948" t="s">
        <v>766</v>
      </c>
      <c r="F70" s="1052"/>
      <c r="O70" s="1426" t="s">
        <v>412</v>
      </c>
      <c r="P70" s="1465" t="s">
        <v>873</v>
      </c>
      <c r="Q70" s="1418">
        <f ca="1">C13</f>
        <v>2335914</v>
      </c>
      <c r="R70" s="1418" t="s">
        <v>818</v>
      </c>
    </row>
    <row r="71" spans="1:18" s="1382" customFormat="1" ht="13.5" thickBot="1">
      <c r="A71" s="969" t="s">
        <v>396</v>
      </c>
      <c r="B71" s="970" t="s">
        <v>776</v>
      </c>
      <c r="C71" s="336">
        <f ca="1">ROUND(C68/F71,0)</f>
        <v>-764</v>
      </c>
      <c r="D71" s="971" t="s">
        <v>777</v>
      </c>
      <c r="E71" s="972" t="s">
        <v>778</v>
      </c>
      <c r="F71" s="339">
        <f ca="1">F43</f>
        <v>554.57000000000005</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175194</v>
      </c>
      <c r="D75" s="1382"/>
      <c r="E75" s="1382"/>
      <c r="F75" s="1382"/>
      <c r="K75" s="1400"/>
      <c r="L75" s="1382"/>
      <c r="O75" s="1416" t="s">
        <v>409</v>
      </c>
      <c r="P75" s="1417" t="s">
        <v>838</v>
      </c>
      <c r="Q75" s="1418">
        <f ca="1">Q65+Q66</f>
        <v>13674433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0.76900000000000002</v>
      </c>
    </row>
    <row r="80" spans="1:18">
      <c r="B80" s="340" t="s">
        <v>800</v>
      </c>
      <c r="C80" s="274">
        <f ca="1">ROUND(C75/C39,3)</f>
        <v>0.23100000000000001</v>
      </c>
    </row>
    <row r="81" spans="2:3">
      <c r="B81" s="270" t="s">
        <v>801</v>
      </c>
      <c r="C81" s="238"/>
    </row>
    <row r="82" spans="2:3">
      <c r="B82" s="273" t="s">
        <v>802</v>
      </c>
      <c r="C82" s="275">
        <f ca="1">1-C83</f>
        <v>0.82899999999999996</v>
      </c>
    </row>
    <row r="83" spans="2:3">
      <c r="B83" s="273" t="s">
        <v>803</v>
      </c>
      <c r="C83" s="274">
        <f ca="1">ROUND(C13/C40,3)</f>
        <v>0.17100000000000001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964.67499999999995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17395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5366284.7200000007</v>
      </c>
      <c r="D5" s="211" t="s">
        <v>1469</v>
      </c>
      <c r="E5" s="212" t="s">
        <v>1470</v>
      </c>
      <c r="F5" s="212" t="s">
        <v>1471</v>
      </c>
      <c r="G5" s="213"/>
    </row>
    <row r="6" spans="1:8" s="214" customFormat="1" ht="13.5" customHeight="1">
      <c r="A6" s="776" t="s">
        <v>1472</v>
      </c>
      <c r="B6" s="215" t="s">
        <v>1473</v>
      </c>
      <c r="C6" s="216">
        <f ca="1">基准地价修正!B3*'成本法 (元)'!D10</f>
        <v>5099825.7200000007</v>
      </c>
      <c r="D6" s="217"/>
      <c r="E6" s="218"/>
      <c r="F6" s="218"/>
      <c r="G6" s="219"/>
    </row>
    <row r="7" spans="1:8" s="214" customFormat="1" ht="13.5" customHeight="1">
      <c r="A7" s="776" t="s">
        <v>1474</v>
      </c>
      <c r="B7" s="215" t="s">
        <v>1475</v>
      </c>
      <c r="C7" s="220">
        <f ca="1">ROUND(C6*F7,0)</f>
        <v>155545</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110914</v>
      </c>
      <c r="D8" s="222"/>
      <c r="E8" s="220"/>
      <c r="F8" s="221"/>
      <c r="G8" s="1854" t="s">
        <v>3447</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110914</v>
      </c>
      <c r="D10" s="843">
        <f ca="1">IF(B1="",'数据-汇总表'!E6,IF(INDIRECT("'数据-取费表'!c"&amp;$G$1)="住宅",INDIRECT("'数据-取费表'!s"&amp;$G$1),INDIRECT("'数据-取费表'!k"&amp;$G$1)+INDIRECT("'数据-取费表'!s"&amp;$G$1)))</f>
        <v>554.57000000000005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554.57000000000005</v>
      </c>
      <c r="E19" s="211">
        <f>'数据-取费表'!B31</f>
        <v>200</v>
      </c>
      <c r="F19" s="231"/>
      <c r="G19" s="1854" t="s">
        <v>3446</v>
      </c>
    </row>
    <row r="20" spans="1:7" s="214" customFormat="1" ht="13.5" customHeight="1">
      <c r="A20" s="255" t="s">
        <v>1574</v>
      </c>
      <c r="B20" s="210" t="s">
        <v>1575</v>
      </c>
      <c r="C20" s="232">
        <f ca="1">ROUND((C5+C19)*F20,0)</f>
        <v>107326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459098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454644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4454</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821042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821042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7310836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2139254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1940995</v>
      </c>
      <c r="D34" s="217"/>
      <c r="E34" s="220"/>
      <c r="F34" s="257"/>
      <c r="G34" s="219"/>
    </row>
    <row r="35" spans="1:7" ht="13.5" customHeight="1">
      <c r="A35" s="778" t="s">
        <v>351</v>
      </c>
      <c r="B35" s="215" t="s">
        <v>1527</v>
      </c>
      <c r="C35" s="220">
        <f ca="1">ROUND(C34*F35,0)</f>
        <v>58230</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110914</v>
      </c>
      <c r="D37" s="217">
        <f ca="1">D19</f>
        <v>554.57000000000005</v>
      </c>
      <c r="E37" s="249">
        <f>'数据-取费表'!B35</f>
        <v>200</v>
      </c>
      <c r="F37" s="259"/>
      <c r="G37" s="261"/>
    </row>
    <row r="38" spans="1:7" ht="13.5" customHeight="1">
      <c r="A38" s="778" t="s">
        <v>354</v>
      </c>
      <c r="B38" s="215" t="s">
        <v>1533</v>
      </c>
      <c r="C38" s="220">
        <f ca="1">ROUND(C34*F38,0)</f>
        <v>29115</v>
      </c>
      <c r="D38" s="220"/>
      <c r="E38" s="220"/>
      <c r="F38" s="259">
        <f>'数据-取费表'!B36</f>
        <v>1.4999999999999999E-2</v>
      </c>
      <c r="G38" s="219" t="s">
        <v>1528</v>
      </c>
    </row>
    <row r="39" spans="1:7" s="214" customFormat="1" ht="13.5" customHeight="1">
      <c r="A39" s="255" t="s">
        <v>1534</v>
      </c>
      <c r="B39" s="210" t="s">
        <v>1535</v>
      </c>
      <c r="C39" s="232">
        <f ca="1">ROUND(C33*F20,0)</f>
        <v>42785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90555</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88779</v>
      </c>
      <c r="D42" s="238"/>
      <c r="E42" s="238"/>
      <c r="F42" s="239"/>
      <c r="G42" s="3651" t="s">
        <v>1591</v>
      </c>
    </row>
    <row r="43" spans="1:7" ht="13.5" customHeight="1">
      <c r="A43" s="778" t="s">
        <v>347</v>
      </c>
      <c r="B43" s="215" t="s">
        <v>1545</v>
      </c>
      <c r="C43" s="238">
        <f ca="1">ROUND(IF('数据-取费表'!B22&lt;=1,C39*F22*'数据-取费表'!B20/2,C39*(POWER((1+F22),'数据-取费表'!B20/2)-1)),0)</f>
        <v>1776</v>
      </c>
      <c r="D43" s="238"/>
      <c r="E43" s="238"/>
      <c r="F43" s="239"/>
      <c r="G43" s="3652"/>
    </row>
    <row r="44" spans="1:7" ht="13.5" customHeight="1">
      <c r="A44" s="778" t="s">
        <v>348</v>
      </c>
      <c r="B44" s="215" t="s">
        <v>1546</v>
      </c>
      <c r="C44" s="238">
        <f ca="1">ROUND(IF('数据-取费表'!B22&lt;=1,C40*F22*'数据-取费表'!B20/2,C40*(POWER((1+F22),'数据-取费表'!B20/2)-1)),4)</f>
        <v>8.0000000000000004E-4</v>
      </c>
      <c r="D44" s="238"/>
      <c r="E44" s="238"/>
      <c r="F44" s="239"/>
      <c r="G44" s="3653"/>
    </row>
    <row r="45" spans="1:7" s="214" customFormat="1" ht="13.5" customHeight="1">
      <c r="A45" s="255" t="s">
        <v>1547</v>
      </c>
      <c r="B45" s="244" t="s">
        <v>1513</v>
      </c>
      <c r="C45" s="245">
        <f ca="1">C46</f>
        <v>327306</v>
      </c>
      <c r="D45" s="235">
        <f ca="1">C47</f>
        <v>3.0000000000000001E-3</v>
      </c>
      <c r="E45" s="236" t="s">
        <v>1539</v>
      </c>
      <c r="F45" s="246">
        <f ca="1">F27</f>
        <v>0.15</v>
      </c>
      <c r="G45" s="247" t="s">
        <v>1548</v>
      </c>
    </row>
    <row r="46" spans="1:7" s="214" customFormat="1" ht="13.5" customHeight="1">
      <c r="A46" s="778" t="s">
        <v>346</v>
      </c>
      <c r="B46" s="248" t="s">
        <v>1549</v>
      </c>
      <c r="C46" s="249">
        <f ca="1">ROUND((C33+C39)*F27,0)</f>
        <v>327306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2814354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2335914</v>
      </c>
      <c r="D51" s="232"/>
      <c r="E51" s="232"/>
      <c r="F51" s="264"/>
      <c r="G51" s="234" t="s">
        <v>1560</v>
      </c>
    </row>
    <row r="52" spans="1:7" s="208" customFormat="1" ht="16.5" thickBot="1">
      <c r="A52" s="265" t="s">
        <v>1561</v>
      </c>
      <c r="B52" s="266"/>
      <c r="C52" s="267">
        <f ca="1">C31+C51</f>
        <v>9646750</v>
      </c>
      <c r="D52" s="266"/>
      <c r="E52" s="266"/>
      <c r="F52" s="266"/>
      <c r="G52" s="268"/>
    </row>
    <row r="55" spans="1:7" ht="15">
      <c r="B55" s="270" t="s">
        <v>1562</v>
      </c>
      <c r="C55" s="271"/>
    </row>
    <row r="56" spans="1:7">
      <c r="B56" s="273" t="s">
        <v>802</v>
      </c>
      <c r="C56" s="275">
        <f ca="1">1-C57</f>
        <v>0.75800000000000001</v>
      </c>
    </row>
    <row r="57" spans="1:7">
      <c r="B57" s="273" t="s">
        <v>803</v>
      </c>
      <c r="C57" s="274">
        <f ca="1">ROUND(C51/C52,3)</f>
        <v>0.24199999999999999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J1" zoomScale="90" zoomScaleNormal="80" zoomScaleSheetLayoutView="90" workbookViewId="0">
      <selection activeCell="M20" sqref="M2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554.57000000000005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510</v>
      </c>
      <c r="C2" s="1997" t="s">
        <v>1935</v>
      </c>
      <c r="D2" s="1998" t="s">
        <v>1936</v>
      </c>
      <c r="E2" s="3419" t="s">
        <v>673</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Ⅶ-房2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11674</v>
      </c>
      <c r="U2" s="1211"/>
      <c r="V2" s="3358">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9196</v>
      </c>
      <c r="C3" s="1997" t="s">
        <v>1941</v>
      </c>
      <c r="D3" s="1998" t="s">
        <v>1942</v>
      </c>
      <c r="E3" s="3417" t="s">
        <v>2439</v>
      </c>
      <c r="F3" s="2002" t="s">
        <v>3420</v>
      </c>
      <c r="G3" s="750">
        <f>IF(F3="宗地容积率",'数据-汇总表'!I4,IF(F3="估价对象容积率",'数据-汇总表'!I6,'数据-汇总表'!I7))</f>
        <v>2.5</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9201</v>
      </c>
      <c r="U3" s="1211">
        <f>'数据-汇总表'!E3</f>
        <v>554.57000000000005</v>
      </c>
      <c r="V3" s="3358">
        <f t="shared" ref="V3:V16" si="1">ROUND(T3*U3/10000,0)</f>
        <v>510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7776</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8494</v>
      </c>
      <c r="D5" s="1337">
        <f>ROUND(C6*C17+C20,0)</f>
        <v>8494</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6859</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8530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6591</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8530</v>
      </c>
      <c r="N7" s="864">
        <f>SUMPRODUCT((因素修正幅度!B190:B233=I2)*(因素修正幅度!C3:G3=E2)*(因素修正幅度!C190:G233))</f>
        <v>0.13</v>
      </c>
      <c r="O7" s="1117"/>
      <c r="P7" s="1117"/>
      <c r="Q7" s="1117"/>
      <c r="R7" s="1210">
        <v>6</v>
      </c>
      <c r="S7" s="3416"/>
      <c r="T7" s="3358">
        <f t="shared" si="0"/>
        <v>0</v>
      </c>
      <c r="U7" s="1211"/>
      <c r="V7" s="3358">
        <f t="shared" si="1"/>
        <v>0</v>
      </c>
      <c r="W7" s="1356" t="s">
        <v>1955</v>
      </c>
      <c r="X7" s="1212" t="str">
        <f>G2</f>
        <v>七级</v>
      </c>
      <c r="Y7" s="1212" t="s">
        <v>1956</v>
      </c>
      <c r="Z7" s="1213">
        <f>G3</f>
        <v>2.5</v>
      </c>
      <c r="AA7" s="1214"/>
      <c r="AB7" s="1214"/>
      <c r="AC7" s="1215"/>
      <c r="AD7" s="1216"/>
      <c r="AE7" s="1216"/>
      <c r="AF7" s="1216"/>
      <c r="AG7" s="1216"/>
      <c r="AH7" s="1216"/>
      <c r="AI7" s="1216"/>
      <c r="AJ7" s="1217"/>
    </row>
    <row r="8" spans="1:36" ht="25.5">
      <c r="A8" s="3296"/>
      <c r="B8" s="170" t="s">
        <v>1957</v>
      </c>
      <c r="C8" s="2024" t="s">
        <v>3423</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71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71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3240</v>
      </c>
      <c r="B12" s="3302" t="s">
        <v>3241</v>
      </c>
      <c r="C12" s="3303">
        <v>1</v>
      </c>
      <c r="D12" s="3304" t="s">
        <v>3242</v>
      </c>
      <c r="E12" s="3305" t="s">
        <v>3243</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3244</v>
      </c>
      <c r="B13" s="2032" t="s">
        <v>1982</v>
      </c>
      <c r="C13" s="753">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3245</v>
      </c>
      <c r="G14" s="3309" t="s">
        <v>3245</v>
      </c>
      <c r="H14" s="3309" t="s">
        <v>3245</v>
      </c>
      <c r="I14" s="3309" t="s">
        <v>3245</v>
      </c>
      <c r="J14" s="3309" t="s">
        <v>3245</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3246</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3250</v>
      </c>
      <c r="E18" s="3326"/>
      <c r="F18" s="3321" t="s">
        <v>3253</v>
      </c>
      <c r="G18" s="3325">
        <f>ROUND(1-(1/(POWER(1+G24,E18))),4)</f>
        <v>0</v>
      </c>
      <c r="H18" s="3321" t="s">
        <v>3255</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3251</v>
      </c>
      <c r="E19" s="3335"/>
      <c r="F19" s="3336" t="s">
        <v>3254</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16" t="s">
        <v>3256</v>
      </c>
      <c r="B20" s="167" t="s">
        <v>1994</v>
      </c>
      <c r="C20" s="3322">
        <f>ROUND(IF(F21="与级别开发程度一致",0,(G21-E21)/C21),0)</f>
        <v>-36</v>
      </c>
      <c r="D20" s="3338" t="s">
        <v>1998</v>
      </c>
      <c r="E20" s="3339"/>
      <c r="F20" s="3722" t="s">
        <v>1995</v>
      </c>
      <c r="G20" s="3723"/>
      <c r="H20" s="3323" t="s">
        <v>3381</v>
      </c>
      <c r="I20" s="3323" t="s">
        <v>3382</v>
      </c>
      <c r="J20" s="3324" t="s">
        <v>3383</v>
      </c>
      <c r="K20" s="2045" t="s">
        <v>3384</v>
      </c>
      <c r="L20" s="2045" t="s">
        <v>3385</v>
      </c>
      <c r="M20" s="2045" t="s">
        <v>3421</v>
      </c>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717"/>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3455</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2" t="s">
        <v>2002</v>
      </c>
      <c r="E23" s="759">
        <v>44197</v>
      </c>
      <c r="F23" s="2052" t="s">
        <v>2003</v>
      </c>
      <c r="G23" s="760">
        <f>'数据-取费表'!B2</f>
        <v>45085</v>
      </c>
      <c r="H23" s="3340" t="s">
        <v>3257</v>
      </c>
      <c r="I23" s="3341" t="str">
        <f>IF(H23="季度增幅（自定义）",SUMIF(N25:N28,E2,O25:O28),"")</f>
        <v/>
      </c>
      <c r="J23" s="3443" t="s">
        <v>3495</v>
      </c>
      <c r="K23" s="1123"/>
      <c r="L23" s="2053" t="s">
        <v>2004</v>
      </c>
      <c r="M23" s="1326">
        <f>ROUND(SUMIF(地价!B2:G2,E2,地价!B16:G16),0)</f>
        <v>350</v>
      </c>
      <c r="N23" s="2054" t="s">
        <v>2005</v>
      </c>
      <c r="O23" s="761">
        <f>ROUNDDOWN(DATEDIF(E23,G23,"M")/3,0)</f>
        <v>9</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0.86609999999999998</v>
      </c>
      <c r="D24" s="2058" t="s">
        <v>2007</v>
      </c>
      <c r="E24" s="1333">
        <f>存贷款利率!E22/100</f>
        <v>4.3499999999999997E-2</v>
      </c>
      <c r="F24" s="2058" t="s">
        <v>1999</v>
      </c>
      <c r="G24" s="766">
        <f>SUMIF(M30:Q30,E2,M33:Q33)</f>
        <v>5.5E-2</v>
      </c>
      <c r="H24" s="2058" t="s">
        <v>2008</v>
      </c>
      <c r="I24" s="767">
        <f>SUMIF('数据-取费表'!C6:C15,E2,'数据-取费表'!F6:F15)/COUNTIF('数据-取费表'!C6:C15,E2)</f>
        <v>27</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3494</v>
      </c>
      <c r="C25" s="769">
        <f>IF(B25="容积率修正",IF(G3&lt;10,D26,J26),C27)</f>
        <v>1.5019</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2"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1.0214000000000001</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510</v>
      </c>
      <c r="D30" s="2081"/>
      <c r="E30" s="2044"/>
      <c r="F30" s="2082"/>
      <c r="G30" s="2044"/>
      <c r="H30" s="2044"/>
      <c r="I30" s="2044"/>
      <c r="J30" s="2083"/>
      <c r="K30" s="1117"/>
      <c r="L30" s="3348" t="s">
        <v>1936</v>
      </c>
      <c r="M30" s="3349" t="s">
        <v>1990</v>
      </c>
      <c r="N30" s="3349" t="s">
        <v>1991</v>
      </c>
      <c r="O30" s="3349" t="s">
        <v>1992</v>
      </c>
      <c r="P30" s="3349" t="s">
        <v>1993</v>
      </c>
      <c r="Q30" s="3352"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1" t="s">
        <v>1999</v>
      </c>
      <c r="M32" s="2568">
        <f>ROUND($E$24*(1+M31),3)</f>
        <v>5.3999999999999999E-2</v>
      </c>
      <c r="N32" s="2568">
        <f>ROUND($E$24*(1+N31),3)</f>
        <v>5.1999999999999998E-2</v>
      </c>
      <c r="O32" s="2568">
        <f>ROUND($E$24*(1+O31),3)</f>
        <v>0.05</v>
      </c>
      <c r="P32" s="2568">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11674</v>
      </c>
      <c r="D33" s="2096">
        <f>'数据-汇总表'!E3</f>
        <v>554.57000000000005</v>
      </c>
      <c r="E33" s="771">
        <f>ROUND(C33*D33/10000,0)</f>
        <v>647</v>
      </c>
      <c r="F33" s="3343" t="s">
        <v>3261</v>
      </c>
      <c r="G33" s="2097"/>
      <c r="H33" s="2097"/>
      <c r="I33" s="2097"/>
      <c r="J33" s="2098"/>
      <c r="K33" s="1117"/>
      <c r="L33" s="3346" t="s">
        <v>3264</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6" t="s">
        <v>3265</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4"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3266</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4664</v>
      </c>
      <c r="D37" s="2096"/>
      <c r="E37" s="171">
        <f>ROUND(C37*D37/10000,0)</f>
        <v>0</v>
      </c>
      <c r="F37" s="171">
        <f>SUMIF(修正!A57:A68,G2,修正!B57:B68)</f>
        <v>0.6</v>
      </c>
      <c r="G37" s="171">
        <f>ROUND(IF(E2="工业",C37*$M$42,C37*$M$41),0)</f>
        <v>1166</v>
      </c>
      <c r="H37" s="171">
        <f>D37</f>
        <v>0</v>
      </c>
      <c r="I37" s="171">
        <f>ROUND(G37*H37/10000,0)</f>
        <v>0</v>
      </c>
      <c r="J37" s="3009"/>
      <c r="K37" s="3356" t="s">
        <v>3267</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2332</v>
      </c>
      <c r="D38" s="2096"/>
      <c r="E38" s="171">
        <f t="shared" ref="E38:E42" si="4">ROUND(C38*D38/10000,0)</f>
        <v>0</v>
      </c>
      <c r="F38" s="171">
        <f>SUMIF(修正!A57:A68,G2,修正!C57:C68)</f>
        <v>0.3</v>
      </c>
      <c r="G38" s="171">
        <f>ROUND(IF(E2="工业",C38*$M$42,C38*$M$41),0)</f>
        <v>583</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21"/>
      <c r="B39" s="2039" t="s">
        <v>3260</v>
      </c>
      <c r="C39" s="175">
        <f>ROUND(D5*C22*C23*C24*C28*F39,0)</f>
        <v>1943</v>
      </c>
      <c r="D39" s="2096"/>
      <c r="E39" s="171">
        <f t="shared" si="4"/>
        <v>0</v>
      </c>
      <c r="F39" s="171">
        <f>SUMIF(修正!A57:A68,G2,修正!D57:D68)</f>
        <v>0.25</v>
      </c>
      <c r="G39" s="171">
        <f>ROUND(IF(E2="工业",C39*$M$42,C39*$M$41),0)</f>
        <v>486</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1943</v>
      </c>
      <c r="D40" s="2096"/>
      <c r="E40" s="171">
        <f t="shared" si="4"/>
        <v>0</v>
      </c>
      <c r="F40" s="175">
        <f>SUMIF(修正!A57:A68,G2,修正!E57:E68)</f>
        <v>0.25</v>
      </c>
      <c r="G40" s="171">
        <f>ROUND(IF(E2="工业",C40*$M$42,C40*$M$41),0)</f>
        <v>486</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1842</v>
      </c>
      <c r="D41" s="2096"/>
      <c r="E41" s="171">
        <f t="shared" si="4"/>
        <v>0</v>
      </c>
      <c r="F41" s="175">
        <f>SUMIF(修正!A57:A68,G2,修正!F57:F68)</f>
        <v>0.25</v>
      </c>
      <c r="G41" s="171">
        <f>ROUND(IF(E2="工业",C41*$M$42,C41*$M$41),0)</f>
        <v>461</v>
      </c>
      <c r="H41" s="171">
        <f t="shared" si="5"/>
        <v>0</v>
      </c>
      <c r="I41" s="171">
        <f t="shared" si="6"/>
        <v>0</v>
      </c>
      <c r="J41" s="2112"/>
      <c r="L41" s="3357"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1105</v>
      </c>
      <c r="D42" s="2101"/>
      <c r="E42" s="187">
        <f t="shared" si="4"/>
        <v>0</v>
      </c>
      <c r="F42" s="765">
        <f>SUMIF(修正!A57:A68,G2,修正!G57:G68)</f>
        <v>0.15</v>
      </c>
      <c r="G42" s="187">
        <f>ROUND(IF(E2="工业",C42*$M$42,C42*$M$41),0)</f>
        <v>276</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f>ROUND(POWER(1+E44,H44-G44)*(POWER(1+E44,G44)-1)/(POWER(1+E44,H44)-1),4)</f>
        <v>0.82079999999999997</v>
      </c>
      <c r="D44" s="171" t="s">
        <v>1999</v>
      </c>
      <c r="E44" s="2151">
        <f>G24</f>
        <v>5.5E-2</v>
      </c>
      <c r="F44" s="171" t="s">
        <v>2008</v>
      </c>
      <c r="G44" s="183">
        <f>项目基本情况!D15</f>
        <v>27</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1.0214000000000001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3403</v>
      </c>
      <c r="D50" s="1063">
        <f t="shared" ref="D50:D58" si="7">SUMIF($J$49:$N$49,C50,J50:N50)</f>
        <v>0</v>
      </c>
      <c r="E50" s="742">
        <f>ROUND(SUM(D50:D58),4)</f>
        <v>2.1399999999999999E-2</v>
      </c>
      <c r="F50" s="1812">
        <f>IF(E2="商业",SUMIF(L1:L12,G2,N1:N12),"——")</f>
        <v>0.13</v>
      </c>
      <c r="G50" s="1061">
        <f>H50</f>
        <v>1.95E-2</v>
      </c>
      <c r="H50" s="1064">
        <f t="shared" ref="H50:H58" si="8">IFERROR(ROUNDDOWN($F$50*I50/2,4),"——")</f>
        <v>1.95E-2</v>
      </c>
      <c r="I50" s="3364">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3403</v>
      </c>
      <c r="D51" s="1063">
        <f t="shared" si="7"/>
        <v>0</v>
      </c>
      <c r="E51" s="743"/>
      <c r="F51" s="1812"/>
      <c r="G51" s="1061">
        <f t="shared" ref="G51:G58" si="12">H51</f>
        <v>1.43E-2</v>
      </c>
      <c r="H51" s="1064">
        <f t="shared" si="8"/>
        <v>1.43E-2</v>
      </c>
      <c r="I51" s="3364">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6" t="s">
        <v>3270</v>
      </c>
      <c r="B52" s="2132">
        <f>估价对象房地状况!C19</f>
        <v>0</v>
      </c>
      <c r="C52" s="2042" t="s">
        <v>3404</v>
      </c>
      <c r="D52" s="1063">
        <f t="shared" si="7"/>
        <v>7.7999999999999996E-3</v>
      </c>
      <c r="E52" s="743"/>
      <c r="F52" s="1812"/>
      <c r="G52" s="1061">
        <f t="shared" si="12"/>
        <v>7.7999999999999996E-3</v>
      </c>
      <c r="H52" s="1064">
        <f t="shared" si="8"/>
        <v>7.7999999999999996E-3</v>
      </c>
      <c r="I52" s="3364">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3403</v>
      </c>
      <c r="D53" s="1063">
        <f t="shared" si="7"/>
        <v>0</v>
      </c>
      <c r="E53" s="743"/>
      <c r="F53" s="1812"/>
      <c r="G53" s="1061">
        <f t="shared" si="12"/>
        <v>3.2000000000000002E-3</v>
      </c>
      <c r="H53" s="1064">
        <f t="shared" si="8"/>
        <v>3.2000000000000002E-3</v>
      </c>
      <c r="I53" s="3364">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3403</v>
      </c>
      <c r="D54" s="1063">
        <f t="shared" si="7"/>
        <v>0</v>
      </c>
      <c r="E54" s="743"/>
      <c r="F54" s="1812"/>
      <c r="G54" s="1061">
        <f t="shared" si="12"/>
        <v>5.1999999999999998E-3</v>
      </c>
      <c r="H54" s="1064">
        <f t="shared" si="8"/>
        <v>5.1999999999999998E-3</v>
      </c>
      <c r="I54" s="3364">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2057</v>
      </c>
      <c r="B55" s="2134" t="s">
        <v>2058</v>
      </c>
      <c r="C55" s="2042" t="s">
        <v>3404</v>
      </c>
      <c r="D55" s="1063">
        <f t="shared" si="7"/>
        <v>3.2000000000000002E-3</v>
      </c>
      <c r="E55" s="743"/>
      <c r="F55" s="1812"/>
      <c r="G55" s="1061">
        <f t="shared" si="12"/>
        <v>3.2000000000000002E-3</v>
      </c>
      <c r="H55" s="1064">
        <f t="shared" si="8"/>
        <v>3.2000000000000002E-3</v>
      </c>
      <c r="I55" s="3364">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3403</v>
      </c>
      <c r="D56" s="1063">
        <f t="shared" si="7"/>
        <v>0</v>
      </c>
      <c r="E56" s="743"/>
      <c r="F56" s="1812"/>
      <c r="G56" s="1061">
        <f t="shared" si="12"/>
        <v>3.2000000000000002E-3</v>
      </c>
      <c r="H56" s="1064">
        <f t="shared" si="8"/>
        <v>3.2000000000000002E-3</v>
      </c>
      <c r="I56" s="3364">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3422</v>
      </c>
      <c r="D57" s="1063">
        <f t="shared" si="7"/>
        <v>1.04E-2</v>
      </c>
      <c r="E57" s="743"/>
      <c r="F57" s="1812"/>
      <c r="G57" s="1061">
        <f t="shared" si="12"/>
        <v>5.1999999999999998E-3</v>
      </c>
      <c r="H57" s="1064">
        <f t="shared" si="8"/>
        <v>5.1999999999999998E-3</v>
      </c>
      <c r="I57" s="3364">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3403</v>
      </c>
      <c r="D58" s="1063">
        <f t="shared" si="7"/>
        <v>0</v>
      </c>
      <c r="E58" s="744"/>
      <c r="F58" s="1812"/>
      <c r="G58" s="1061">
        <f t="shared" si="12"/>
        <v>3.2000000000000002E-3</v>
      </c>
      <c r="H58" s="1064">
        <f t="shared" si="8"/>
        <v>3.2000000000000002E-3</v>
      </c>
      <c r="I58" s="3365">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3">SUMIF($J$60:$N$60,C61,J61:N61)</f>
        <v>0</v>
      </c>
      <c r="E61" s="742">
        <f>ROUND(SUM(D61:D69),4)</f>
        <v>0</v>
      </c>
      <c r="F61" s="1812" t="str">
        <f>IF(E2="办公",SUMIF(L1:L12,G2,N1:N12),"——")</f>
        <v>——</v>
      </c>
      <c r="G61" s="1061"/>
      <c r="H61" s="1064" t="str">
        <f t="shared" ref="H61:H69" si="14">IFERROR(ROUNDDOWN($F$61*I61/2,4),"——")</f>
        <v>——</v>
      </c>
      <c r="I61" s="3364">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3"/>
        <v>0</v>
      </c>
      <c r="E62" s="743"/>
      <c r="F62" s="1812"/>
      <c r="G62" s="1061"/>
      <c r="H62" s="1064" t="str">
        <f t="shared" si="14"/>
        <v>——</v>
      </c>
      <c r="I62" s="3364">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6" t="s">
        <v>3270</v>
      </c>
      <c r="B63" s="2132">
        <f>估价对象房地状况!C19</f>
        <v>0</v>
      </c>
      <c r="C63" s="2042"/>
      <c r="D63" s="1063">
        <f t="shared" si="13"/>
        <v>0</v>
      </c>
      <c r="E63" s="743"/>
      <c r="F63" s="1812"/>
      <c r="G63" s="1061"/>
      <c r="H63" s="1064" t="str">
        <f t="shared" si="14"/>
        <v>——</v>
      </c>
      <c r="I63" s="3364">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3"/>
        <v>0</v>
      </c>
      <c r="E64" s="743"/>
      <c r="F64" s="1812"/>
      <c r="G64" s="1061"/>
      <c r="H64" s="1064" t="str">
        <f t="shared" si="14"/>
        <v>——</v>
      </c>
      <c r="I64" s="3364">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3"/>
        <v>0</v>
      </c>
      <c r="E65" s="743"/>
      <c r="F65" s="1812"/>
      <c r="G65" s="1061"/>
      <c r="H65" s="1064" t="str">
        <f t="shared" si="14"/>
        <v>——</v>
      </c>
      <c r="I65" s="3364">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3"/>
        <v>0</v>
      </c>
      <c r="E66" s="743"/>
      <c r="F66" s="1812"/>
      <c r="G66" s="1061"/>
      <c r="H66" s="1064" t="str">
        <f t="shared" si="14"/>
        <v>——</v>
      </c>
      <c r="I66" s="3364">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3"/>
        <v>0</v>
      </c>
      <c r="E67" s="743"/>
      <c r="F67" s="1812"/>
      <c r="G67" s="1061"/>
      <c r="H67" s="1064" t="str">
        <f t="shared" si="14"/>
        <v>——</v>
      </c>
      <c r="I67" s="3364">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3"/>
        <v>0</v>
      </c>
      <c r="E68" s="743"/>
      <c r="F68" s="1812"/>
      <c r="G68" s="1061"/>
      <c r="H68" s="1064" t="str">
        <f t="shared" si="14"/>
        <v>——</v>
      </c>
      <c r="I68" s="3364">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3"/>
        <v>0</v>
      </c>
      <c r="E69" s="744"/>
      <c r="F69" s="1812"/>
      <c r="G69" s="1061"/>
      <c r="H69" s="1064" t="str">
        <f t="shared" si="14"/>
        <v>——</v>
      </c>
      <c r="I69" s="3365">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6" t="s">
        <v>3270</v>
      </c>
      <c r="B74" s="2132">
        <f>估价对象房地状况!C19</f>
        <v>0</v>
      </c>
      <c r="C74" s="2042"/>
      <c r="D74" s="1063">
        <f t="shared" si="18"/>
        <v>0</v>
      </c>
      <c r="E74" s="745"/>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8"/>
        <v>0</v>
      </c>
      <c r="E75" s="745"/>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8"/>
        <v>0</v>
      </c>
      <c r="E76" s="745"/>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2060</v>
      </c>
      <c r="B77" s="1324" t="str">
        <f>估价对象房地状况!C22</f>
        <v>估价对象所在区域基础设施水平</v>
      </c>
      <c r="C77" s="2042"/>
      <c r="D77" s="1063">
        <f t="shared" si="18"/>
        <v>0</v>
      </c>
      <c r="E77" s="745"/>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2057</v>
      </c>
      <c r="B78" s="2134" t="s">
        <v>2058</v>
      </c>
      <c r="C78" s="2042"/>
      <c r="D78" s="1063">
        <f t="shared" si="18"/>
        <v>0</v>
      </c>
      <c r="E78" s="745"/>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8"/>
        <v>0</v>
      </c>
      <c r="E79" s="745"/>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24.75" thickBot="1">
      <c r="A80" s="2136" t="s">
        <v>2068</v>
      </c>
      <c r="B80" s="2140"/>
      <c r="C80" s="2042"/>
      <c r="D80" s="1063">
        <f t="shared" si="18"/>
        <v>0</v>
      </c>
      <c r="E80" s="746"/>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36">
      <c r="A85" s="3366" t="s">
        <v>3271</v>
      </c>
      <c r="B85" s="2132">
        <f>估价对象房地状况!G17</f>
        <v>0</v>
      </c>
      <c r="C85" s="2042"/>
      <c r="D85" s="1063">
        <f t="shared" si="23"/>
        <v>0</v>
      </c>
      <c r="E85" s="745"/>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4.25">
      <c r="A86" s="2128" t="s">
        <v>2067</v>
      </c>
      <c r="B86" s="2132">
        <f>估价对象房地状况!G22</f>
        <v>0</v>
      </c>
      <c r="C86" s="2042"/>
      <c r="D86" s="1063">
        <f t="shared" si="23"/>
        <v>0</v>
      </c>
      <c r="E86" s="745"/>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5.5">
      <c r="A87" s="2128" t="s">
        <v>2059</v>
      </c>
      <c r="B87" s="1324" t="str">
        <f>估价对象房地状况!G19</f>
        <v>估价对象所在区域公共配套设施齐备情况</v>
      </c>
      <c r="C87" s="2042"/>
      <c r="D87" s="1063">
        <f t="shared" si="23"/>
        <v>0</v>
      </c>
      <c r="E87" s="745"/>
      <c r="F87" s="1812"/>
      <c r="G87" s="1061"/>
      <c r="H87" s="1064" t="str">
        <f t="shared" si="24"/>
        <v>——</v>
      </c>
      <c r="I87" s="3364">
        <v>0.06</v>
      </c>
      <c r="J87" s="1062">
        <f t="shared" si="25"/>
        <v>0</v>
      </c>
      <c r="K87" s="1062">
        <f t="shared" si="26"/>
        <v>0</v>
      </c>
      <c r="L87" s="1062">
        <v>0</v>
      </c>
      <c r="M87" s="1062">
        <f t="shared" si="27"/>
        <v>0</v>
      </c>
      <c r="N87" s="1062">
        <f t="shared" si="27"/>
        <v>0</v>
      </c>
    </row>
    <row r="88" spans="1:37" ht="25.5">
      <c r="A88" s="2128" t="s">
        <v>2060</v>
      </c>
      <c r="B88" s="1324" t="str">
        <f>估价对象房地状况!G20</f>
        <v>估价对象所在区域基础设施水平</v>
      </c>
      <c r="C88" s="2042"/>
      <c r="D88" s="1063">
        <f t="shared" si="23"/>
        <v>0</v>
      </c>
      <c r="E88" s="745"/>
      <c r="F88" s="1812"/>
      <c r="G88" s="1061"/>
      <c r="H88" s="1064" t="str">
        <f t="shared" si="24"/>
        <v>——</v>
      </c>
      <c r="I88" s="3364">
        <v>0.12</v>
      </c>
      <c r="J88" s="1062">
        <f t="shared" si="25"/>
        <v>0</v>
      </c>
      <c r="K88" s="1062">
        <f t="shared" si="26"/>
        <v>0</v>
      </c>
      <c r="L88" s="1062">
        <v>0</v>
      </c>
      <c r="M88" s="1062">
        <f t="shared" si="27"/>
        <v>0</v>
      </c>
      <c r="N88" s="1062">
        <f t="shared" si="27"/>
        <v>0</v>
      </c>
    </row>
    <row r="89" spans="1:37" ht="24">
      <c r="A89" s="2128" t="s">
        <v>2057</v>
      </c>
      <c r="B89" s="2134" t="s">
        <v>2071</v>
      </c>
      <c r="C89" s="2042"/>
      <c r="D89" s="1063">
        <f t="shared" si="23"/>
        <v>0</v>
      </c>
      <c r="E89" s="745"/>
      <c r="F89" s="1812"/>
      <c r="G89" s="1061"/>
      <c r="H89" s="1064" t="str">
        <f t="shared" si="24"/>
        <v>——</v>
      </c>
      <c r="I89" s="3364">
        <v>0.06</v>
      </c>
      <c r="J89" s="1062">
        <f t="shared" si="25"/>
        <v>0</v>
      </c>
      <c r="K89" s="1062">
        <f t="shared" si="26"/>
        <v>0</v>
      </c>
      <c r="L89" s="1062">
        <v>0</v>
      </c>
      <c r="M89" s="1062">
        <f t="shared" si="27"/>
        <v>0</v>
      </c>
      <c r="N89" s="1062">
        <f t="shared" si="27"/>
        <v>0</v>
      </c>
    </row>
    <row r="90" spans="1:37" ht="39" thickBot="1">
      <c r="A90" s="2136" t="s">
        <v>2072</v>
      </c>
      <c r="B90" s="2141" t="str">
        <f>估价对象房地状况!G18</f>
        <v>该园区内是否有污染型企业，绿化情况，卫生条件，整体环境状况判断</v>
      </c>
      <c r="C90" s="2042"/>
      <c r="D90" s="1063">
        <f t="shared" si="23"/>
        <v>0</v>
      </c>
      <c r="E90" s="746"/>
      <c r="F90" s="1812"/>
      <c r="G90" s="1061"/>
      <c r="H90" s="1064" t="str">
        <f t="shared" si="24"/>
        <v>——</v>
      </c>
      <c r="I90" s="3365">
        <v>0.05</v>
      </c>
      <c r="J90" s="1062">
        <f t="shared" si="25"/>
        <v>0</v>
      </c>
      <c r="K90" s="1062">
        <f t="shared" si="26"/>
        <v>0</v>
      </c>
      <c r="L90" s="1062">
        <v>0</v>
      </c>
      <c r="M90" s="1062">
        <f t="shared" si="27"/>
        <v>0</v>
      </c>
      <c r="N90" s="1062">
        <f t="shared" si="27"/>
        <v>0</v>
      </c>
    </row>
    <row r="91" spans="1:37" ht="15">
      <c r="A91" s="3374" t="s">
        <v>2612</v>
      </c>
      <c r="B91" s="3375">
        <f>1+E93</f>
        <v>1</v>
      </c>
      <c r="C91" s="3368"/>
      <c r="D91" s="3369"/>
      <c r="E91" s="1812"/>
      <c r="F91" s="1812"/>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3274</v>
      </c>
      <c r="B94" s="3367" t="str">
        <f>估价对象房地状况!C18</f>
        <v>估价对象周边道路状况、公共交通通达情况、停车便捷程度，综合评价交通便捷度较好</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3270</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3275</v>
      </c>
      <c r="B96" s="3382" t="s">
        <v>3286</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3276</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3277</v>
      </c>
      <c r="B98" s="3383" t="s">
        <v>3287</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5.5">
      <c r="A99" s="3376" t="s">
        <v>3278</v>
      </c>
      <c r="B99" s="3367" t="str">
        <f>估价对象房地状况!C21</f>
        <v>估价对象所在区域公共配套设施齐备情况</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5.5">
      <c r="A100" s="3376" t="s">
        <v>3279</v>
      </c>
      <c r="B100" s="3367" t="str">
        <f>估价对象房地状况!C22</f>
        <v>估价对象所在区域基础设施水平</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3280</v>
      </c>
      <c r="B101" s="3384" t="str">
        <f>估价对象房地状况!C20</f>
        <v>区域自然环境：；人文环境；综合评价环境状况一般</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18" t="s">
        <v>3295</v>
      </c>
      <c r="B103" s="3718"/>
      <c r="C103" s="3718"/>
      <c r="D103" s="3718"/>
      <c r="E103" s="3718"/>
      <c r="F103" s="3718"/>
      <c r="G103" s="3718"/>
      <c r="H103" s="3718"/>
      <c r="I103" s="3718"/>
      <c r="J103" s="3718"/>
      <c r="K103" s="3387"/>
      <c r="L103" s="3387"/>
      <c r="M103" s="3387"/>
      <c r="N103" s="3387"/>
    </row>
    <row r="104" spans="1:14">
      <c r="A104" s="3719" t="s">
        <v>3296</v>
      </c>
      <c r="B104" s="3719" t="s">
        <v>3297</v>
      </c>
      <c r="C104" s="3388" t="s">
        <v>3298</v>
      </c>
      <c r="D104" s="3389"/>
      <c r="E104" s="3389"/>
      <c r="F104" s="3389"/>
      <c r="G104" s="3389"/>
      <c r="H104" s="3389"/>
      <c r="I104" s="3389"/>
      <c r="J104" s="3390"/>
      <c r="K104" s="3391"/>
      <c r="L104" s="3391"/>
      <c r="M104" s="3391"/>
      <c r="N104" s="3391"/>
    </row>
    <row r="105" spans="1:14">
      <c r="A105" s="3719"/>
      <c r="B105" s="371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0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0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0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0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0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06"/>
      <c r="B111" s="3392" t="s">
        <v>3269</v>
      </c>
      <c r="C111" s="3393">
        <f>$I$3</f>
        <v>1</v>
      </c>
      <c r="D111" s="3393">
        <f t="shared" ref="D111:M111" si="33">$I$3</f>
        <v>1</v>
      </c>
      <c r="E111" s="3393">
        <f t="shared" si="33"/>
        <v>1</v>
      </c>
      <c r="F111" s="3393">
        <f t="shared" si="33"/>
        <v>1</v>
      </c>
      <c r="G111" s="3393">
        <f t="shared" si="33"/>
        <v>1</v>
      </c>
      <c r="H111" s="3393">
        <f t="shared" si="33"/>
        <v>1</v>
      </c>
      <c r="I111" s="3393">
        <f t="shared" si="33"/>
        <v>1</v>
      </c>
      <c r="J111" s="3393">
        <f t="shared" si="33"/>
        <v>1</v>
      </c>
      <c r="K111" s="3393">
        <f t="shared" si="33"/>
        <v>1</v>
      </c>
      <c r="L111" s="3393">
        <f t="shared" si="33"/>
        <v>1</v>
      </c>
      <c r="M111" s="3393">
        <f t="shared" si="33"/>
        <v>1</v>
      </c>
      <c r="N111" s="3393">
        <f>$I$3</f>
        <v>1</v>
      </c>
    </row>
    <row r="112" spans="1:14">
      <c r="A112" s="3707"/>
      <c r="B112" s="3392">
        <v>6</v>
      </c>
      <c r="C112" s="3385">
        <f>(-0.5556*(C111^2)-0.2719*C111+8944)*(10^(-4))</f>
        <v>0.89431725000000006</v>
      </c>
      <c r="D112" s="3385">
        <f>(-0.5556*(D111^2)-0.2719*D111+8944)*(10^(-4))</f>
        <v>0.89431725000000006</v>
      </c>
      <c r="E112" s="3385">
        <f>(-0.7912*(E111^2)-11.3794*E111+8482)*(10^(-4))</f>
        <v>0.84698294000000007</v>
      </c>
      <c r="F112" s="3385">
        <f t="shared" ref="F112:I112" si="34">(-0.7912*(F111^2)-11.3794*F111+8482)*(10^(-4))</f>
        <v>0.84698294000000007</v>
      </c>
      <c r="G112" s="3385">
        <f t="shared" si="34"/>
        <v>0.84698294000000007</v>
      </c>
      <c r="H112" s="3385">
        <f t="shared" si="34"/>
        <v>0.84698294000000007</v>
      </c>
      <c r="I112" s="3385">
        <f t="shared" si="34"/>
        <v>0.84698294000000007</v>
      </c>
      <c r="J112" s="3385">
        <f>(-0.989*(J111^2)-63.78*J111+7771)*(10^(-4))</f>
        <v>0.77062310000000001</v>
      </c>
      <c r="K112" s="3385">
        <f t="shared" ref="K112:N112" si="35">(-0.989*(K111^2)-63.78*K111+7771)*(10^(-4))</f>
        <v>0.77062310000000001</v>
      </c>
      <c r="L112" s="3385">
        <f t="shared" si="35"/>
        <v>0.77062310000000001</v>
      </c>
      <c r="M112" s="3385">
        <f t="shared" si="35"/>
        <v>0.77062310000000001</v>
      </c>
      <c r="N112" s="3385">
        <f t="shared" si="35"/>
        <v>0.77062310000000001</v>
      </c>
    </row>
    <row r="113" spans="1:14">
      <c r="A113" s="3708" t="s">
        <v>3312</v>
      </c>
      <c r="B113" s="3708"/>
      <c r="C113" s="3708"/>
      <c r="D113" s="3708"/>
      <c r="E113" s="3708"/>
      <c r="F113" s="3708"/>
      <c r="G113" s="3708"/>
      <c r="H113" s="3708"/>
      <c r="I113" s="3708"/>
      <c r="J113" s="370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0.91400000000000003</v>
      </c>
      <c r="E116" s="1998" t="s">
        <v>3315</v>
      </c>
      <c r="F116" s="3399" t="str">
        <f>E2</f>
        <v>商业</v>
      </c>
      <c r="G116" s="1998" t="s">
        <v>3316</v>
      </c>
      <c r="H116" s="3399" t="str">
        <f>G2</f>
        <v>七级</v>
      </c>
      <c r="I116" s="1998"/>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6">I118</f>
        <v>0.80359999999999998</v>
      </c>
      <c r="K118" s="3385">
        <f t="shared" si="36"/>
        <v>0.80359999999999998</v>
      </c>
      <c r="L118" s="3385">
        <f t="shared" si="36"/>
        <v>0.80359999999999998</v>
      </c>
      <c r="M118" s="3408">
        <f t="shared" si="36"/>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7">D119</f>
        <v>0.90600000000000003</v>
      </c>
      <c r="F119" s="3385">
        <f t="shared" si="37"/>
        <v>0.90600000000000003</v>
      </c>
      <c r="G119" s="3385">
        <f t="shared" si="37"/>
        <v>0.90600000000000003</v>
      </c>
      <c r="H119" s="3385">
        <f t="shared" si="37"/>
        <v>0.90600000000000003</v>
      </c>
      <c r="I119" s="3385">
        <f>ROUND(0.838-0.0182*B116,4)</f>
        <v>0.79249999999999998</v>
      </c>
      <c r="J119" s="3385">
        <f t="shared" si="36"/>
        <v>0.79249999999999998</v>
      </c>
      <c r="K119" s="3385">
        <f t="shared" si="36"/>
        <v>0.79249999999999998</v>
      </c>
      <c r="L119" s="3385">
        <f t="shared" si="36"/>
        <v>0.79249999999999998</v>
      </c>
      <c r="M119" s="3408">
        <f t="shared" si="36"/>
        <v>0.79249999999999998</v>
      </c>
      <c r="N119" s="3395"/>
    </row>
    <row r="120" spans="1:14">
      <c r="A120" s="3407" t="s">
        <v>3331</v>
      </c>
      <c r="B120" s="3385">
        <f>ROUND(0.9448-0.0115*B116,4)</f>
        <v>0.91610000000000003</v>
      </c>
      <c r="C120" s="3385">
        <f>B120</f>
        <v>0.91610000000000003</v>
      </c>
      <c r="D120" s="3385">
        <f>ROUND(0.937-0.0145*B116,4)</f>
        <v>0.90080000000000005</v>
      </c>
      <c r="E120" s="3385">
        <f t="shared" si="37"/>
        <v>0.90080000000000005</v>
      </c>
      <c r="F120" s="3385">
        <f t="shared" si="37"/>
        <v>0.90080000000000005</v>
      </c>
      <c r="G120" s="3385">
        <f t="shared" si="37"/>
        <v>0.90080000000000005</v>
      </c>
      <c r="H120" s="3385">
        <f t="shared" si="37"/>
        <v>0.90080000000000005</v>
      </c>
      <c r="I120" s="3385">
        <f>ROUND(0.7965-0.0185*B116,4)</f>
        <v>0.75029999999999997</v>
      </c>
      <c r="J120" s="3385">
        <f t="shared" si="36"/>
        <v>0.75029999999999997</v>
      </c>
      <c r="K120" s="3385">
        <f t="shared" si="36"/>
        <v>0.75029999999999997</v>
      </c>
      <c r="L120" s="3385">
        <f t="shared" si="36"/>
        <v>0.75029999999999997</v>
      </c>
      <c r="M120" s="3408">
        <f t="shared" si="36"/>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6"/>
        <v>0.54300000000000004</v>
      </c>
      <c r="K121" s="3410">
        <f t="shared" si="36"/>
        <v>0.54300000000000004</v>
      </c>
      <c r="L121" s="3410">
        <f t="shared" si="36"/>
        <v>0.54300000000000004</v>
      </c>
      <c r="M121" s="3411">
        <f t="shared" si="36"/>
        <v>0.54300000000000004</v>
      </c>
      <c r="N121" s="3395"/>
    </row>
    <row r="122" spans="1:14">
      <c r="A122" s="3412" t="s">
        <v>2612</v>
      </c>
      <c r="B122" s="3385">
        <f>ROUND(0.9404-0.0106*B116,4)</f>
        <v>0.91390000000000005</v>
      </c>
      <c r="C122" s="3385">
        <f>B122</f>
        <v>0.91390000000000005</v>
      </c>
      <c r="D122" s="3385">
        <f>ROUND(0.8955-0.0135*B116,4)</f>
        <v>0.86180000000000001</v>
      </c>
      <c r="E122" s="3385">
        <f t="shared" ref="E122:H122" si="38">D122</f>
        <v>0.86180000000000001</v>
      </c>
      <c r="F122" s="3385">
        <f t="shared" si="38"/>
        <v>0.86180000000000001</v>
      </c>
      <c r="G122" s="3385">
        <f t="shared" si="38"/>
        <v>0.86180000000000001</v>
      </c>
      <c r="H122" s="3385">
        <f t="shared" si="38"/>
        <v>0.86180000000000001</v>
      </c>
      <c r="I122" s="3385">
        <f>ROUND(0.7632-0.0166*B116,4)</f>
        <v>0.72170000000000001</v>
      </c>
      <c r="J122" s="3385">
        <f t="shared" si="36"/>
        <v>0.72170000000000001</v>
      </c>
      <c r="K122" s="3385">
        <f t="shared" si="36"/>
        <v>0.72170000000000001</v>
      </c>
      <c r="L122" s="3385">
        <f t="shared" si="36"/>
        <v>0.72170000000000001</v>
      </c>
      <c r="M122" s="3408">
        <f t="shared" si="36"/>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554.57000000000005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554.57000000000005</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-9.1400000000000148E-2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11</v>
      </c>
      <c r="D20" s="844">
        <f ca="1">IF(C1="",'数据-汇总表'!E6,IF(INDIRECT("'数据-取费表'!c"&amp;$K$1)="住宅",INDIRECT("'数据-取费表'!s"&amp;$K$1),INDIRECT("'数据-取费表'!k"&amp;$K$1)+INDIRECT("'数据-取费表'!s"&amp;$K$1)))</f>
        <v>554.57000000000005</v>
      </c>
      <c r="E20" s="21">
        <f>'数据-取费表'!B28</f>
        <v>200</v>
      </c>
      <c r="F20" s="802"/>
      <c r="G20" s="12"/>
      <c r="H20" s="807"/>
      <c r="I20" s="807"/>
      <c r="J20" s="807"/>
      <c r="K20" s="808"/>
    </row>
    <row r="21" spans="1:33" s="801" customFormat="1" ht="13.5" customHeight="1">
      <c r="A21" s="788" t="s">
        <v>357</v>
      </c>
      <c r="B21" s="811" t="s">
        <v>1628</v>
      </c>
      <c r="C21" s="812">
        <f ca="1">C16+C17+C18</f>
        <v>-9.1400000000000148E-2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700" t="s">
        <v>694</v>
      </c>
      <c r="C6" s="1072">
        <f ca="1">ROUND(F6*F8*F7*(1-F9)/10000,0)</f>
        <v>0</v>
      </c>
      <c r="D6" s="155" t="s">
        <v>2106</v>
      </c>
      <c r="E6" s="302" t="s">
        <v>696</v>
      </c>
      <c r="F6" s="303">
        <f ca="1">INDIRECT("'数据-取费表'!u"&amp;$G$1)</f>
        <v>0</v>
      </c>
      <c r="G6" s="1382"/>
      <c r="H6" s="1067" t="s">
        <v>398</v>
      </c>
      <c r="I6" s="3700" t="s">
        <v>694</v>
      </c>
      <c r="J6" s="301">
        <f ca="1">ROUND(M6*M8*M7*(1-M9)/10000,0)</f>
        <v>0</v>
      </c>
      <c r="K6" s="155" t="s">
        <v>2105</v>
      </c>
      <c r="L6" s="302" t="s">
        <v>696</v>
      </c>
      <c r="M6" s="303">
        <f ca="1">INDIRECT("'数据-取费表'!z"&amp;$G$1)</f>
        <v>0</v>
      </c>
    </row>
    <row r="7" spans="1:37" ht="18" customHeight="1">
      <c r="A7" s="1071"/>
      <c r="B7" s="3701"/>
      <c r="C7" s="1073"/>
      <c r="D7" s="307"/>
      <c r="E7" s="1074" t="s">
        <v>697</v>
      </c>
      <c r="F7" s="303">
        <f ca="1">IF(INDIRECT("'数据-取费表'!ah"&amp;$G$1)="",INDIRECT("'数据-取费表'!k"&amp;$G$1),INDIRECT("'数据-取费表'!ah"&amp;$G$1))</f>
        <v>0</v>
      </c>
      <c r="G7" s="1382"/>
      <c r="H7" s="304"/>
      <c r="I7" s="3701"/>
      <c r="J7" s="306"/>
      <c r="K7" s="307"/>
      <c r="L7" s="302" t="s">
        <v>697</v>
      </c>
      <c r="M7" s="303">
        <f ca="1">F7</f>
        <v>0</v>
      </c>
    </row>
    <row r="8" spans="1:37" ht="18" customHeight="1">
      <c r="A8" s="304"/>
      <c r="B8" s="3701"/>
      <c r="C8" s="306"/>
      <c r="D8" s="307"/>
      <c r="E8" s="302" t="s">
        <v>698</v>
      </c>
      <c r="F8" s="303">
        <f ca="1">INDIRECT("'数据-取费表'!ai"&amp;$G$1)</f>
        <v>0</v>
      </c>
      <c r="G8" s="1382"/>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2"/>
      <c r="H9" s="304"/>
      <c r="I9" s="370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3336</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5" t="s">
        <v>2307</v>
      </c>
      <c r="I31" s="1396"/>
      <c r="J31" s="1397"/>
      <c r="K31" s="2473"/>
      <c r="L31" s="2695"/>
      <c r="M31" s="2696"/>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3336</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12</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703" t="s">
        <v>837</v>
      </c>
      <c r="L53" s="3704"/>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3" t="s">
        <v>2315</v>
      </c>
      <c r="B2" s="2840" t="e">
        <f>IF(D2="——",C40,C40+E2)</f>
        <v>#DIV/0!</v>
      </c>
      <c r="C2" s="2841" t="s">
        <v>2316</v>
      </c>
      <c r="D2" s="3440" t="s">
        <v>3359</v>
      </c>
      <c r="E2" s="3441"/>
      <c r="F2" s="2843"/>
      <c r="G2" s="2844"/>
      <c r="H2" s="2845"/>
      <c r="I2" s="2846"/>
      <c r="J2" s="3724" t="s">
        <v>2317</v>
      </c>
      <c r="K2" s="3725"/>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726" t="s">
        <v>2327</v>
      </c>
      <c r="K3" s="3727"/>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726" t="s">
        <v>2329</v>
      </c>
      <c r="K4" s="3727"/>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728" t="s">
        <v>2333</v>
      </c>
      <c r="B6" s="3729"/>
      <c r="C6" s="3730"/>
      <c r="D6" s="2867"/>
      <c r="E6" s="2868"/>
      <c r="F6" s="2869"/>
      <c r="G6" s="2870"/>
      <c r="H6" s="2845"/>
      <c r="I6" s="2846"/>
      <c r="J6" s="3731">
        <v>1</v>
      </c>
      <c r="K6" s="3732"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731"/>
      <c r="K7" s="3733"/>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735" t="s">
        <v>2347</v>
      </c>
      <c r="C8" s="3736"/>
      <c r="D8" s="2886" t="s">
        <v>2348</v>
      </c>
      <c r="E8" s="2887" t="s">
        <v>2349</v>
      </c>
      <c r="F8" s="2888" t="s">
        <v>2350</v>
      </c>
      <c r="G8" s="2889"/>
      <c r="H8" s="2845"/>
      <c r="I8" s="2846"/>
      <c r="J8" s="3731"/>
      <c r="K8" s="3733"/>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735" t="s">
        <v>2353</v>
      </c>
      <c r="C9" s="3736"/>
      <c r="D9" s="2886">
        <f>ROUND(D6*E9,0)</f>
        <v>0</v>
      </c>
      <c r="E9" s="2890"/>
      <c r="F9" s="2891" t="s">
        <v>2354</v>
      </c>
      <c r="G9" s="2870"/>
      <c r="H9" s="2845"/>
      <c r="I9" s="2846"/>
      <c r="J9" s="3731"/>
      <c r="K9" s="3733"/>
      <c r="L9" s="2880" t="s">
        <v>2355</v>
      </c>
      <c r="M9" s="2881"/>
      <c r="N9" s="2857"/>
      <c r="O9" s="2882"/>
      <c r="P9" s="2882"/>
      <c r="Q9" s="2883">
        <v>365</v>
      </c>
      <c r="R9" s="2884">
        <f t="shared" si="0"/>
        <v>0</v>
      </c>
      <c r="S9" s="2838"/>
      <c r="T9" s="2838"/>
      <c r="U9" s="2838"/>
      <c r="V9" s="2846"/>
    </row>
    <row r="10" spans="1:22" s="2850" customFormat="1" ht="13.15" customHeight="1">
      <c r="A10" s="2885">
        <v>2</v>
      </c>
      <c r="B10" s="3735" t="s">
        <v>2356</v>
      </c>
      <c r="C10" s="3736"/>
      <c r="D10" s="2886">
        <f>ROUND(D6*E10,0)</f>
        <v>0</v>
      </c>
      <c r="E10" s="2890"/>
      <c r="F10" s="2891" t="s">
        <v>2357</v>
      </c>
      <c r="G10" s="2870"/>
      <c r="H10" s="2845"/>
      <c r="I10" s="2846"/>
      <c r="J10" s="3731"/>
      <c r="K10" s="3733"/>
      <c r="L10" s="2880" t="s">
        <v>2358</v>
      </c>
      <c r="M10" s="2881"/>
      <c r="N10" s="2857"/>
      <c r="O10" s="2882"/>
      <c r="P10" s="2882"/>
      <c r="Q10" s="2883">
        <v>365</v>
      </c>
      <c r="R10" s="2884">
        <f t="shared" si="0"/>
        <v>0</v>
      </c>
      <c r="S10" s="2838"/>
      <c r="T10" s="2838"/>
      <c r="U10" s="2838"/>
      <c r="V10" s="2846"/>
    </row>
    <row r="11" spans="1:22" s="2850" customFormat="1" ht="13.15" customHeight="1">
      <c r="A11" s="2885">
        <v>3</v>
      </c>
      <c r="B11" s="3735" t="s">
        <v>2359</v>
      </c>
      <c r="C11" s="3736"/>
      <c r="D11" s="2886">
        <f>D12+D14+D15+D16</f>
        <v>0</v>
      </c>
      <c r="E11" s="2892" t="e">
        <f>D11/D6</f>
        <v>#DIV/0!</v>
      </c>
      <c r="F11" s="2888"/>
      <c r="G11" s="2889"/>
      <c r="H11" s="2845"/>
      <c r="I11" s="2846"/>
      <c r="J11" s="3731"/>
      <c r="K11" s="3733"/>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737" t="s">
        <v>2362</v>
      </c>
      <c r="C12" s="3738"/>
      <c r="D12" s="2894">
        <f>ROUND(D13*1.2%*(1-30%),0)</f>
        <v>0</v>
      </c>
      <c r="E12" s="2895">
        <v>1.2E-2</v>
      </c>
      <c r="F12" s="2888" t="s">
        <v>2363</v>
      </c>
      <c r="G12" s="2889"/>
      <c r="H12" s="2845"/>
      <c r="I12" s="2846"/>
      <c r="J12" s="3731"/>
      <c r="K12" s="3733"/>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731"/>
      <c r="K13" s="3733"/>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737" t="s">
        <v>2368</v>
      </c>
      <c r="C14" s="3738"/>
      <c r="D14" s="2894">
        <f>ROUND(E14*B5/10000,0)</f>
        <v>0</v>
      </c>
      <c r="E14" s="2883"/>
      <c r="F14" s="2888" t="s">
        <v>2369</v>
      </c>
      <c r="G14" s="2889"/>
      <c r="H14" s="2845"/>
      <c r="I14" s="2846"/>
      <c r="J14" s="3731"/>
      <c r="K14" s="3734"/>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737" t="s">
        <v>2372</v>
      </c>
      <c r="C15" s="3738"/>
      <c r="D15" s="2894">
        <f>ROUND(D6*E15,0)</f>
        <v>0</v>
      </c>
      <c r="E15" s="2895">
        <v>5.5E-2</v>
      </c>
      <c r="F15" s="2888" t="s">
        <v>2373</v>
      </c>
      <c r="G15" s="2870"/>
      <c r="H15" s="2845"/>
      <c r="I15" s="2846"/>
      <c r="J15" s="3731">
        <v>2</v>
      </c>
      <c r="K15" s="3732"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737" t="s">
        <v>2381</v>
      </c>
      <c r="C16" s="3738"/>
      <c r="D16" s="2905">
        <f>D6*E16</f>
        <v>0</v>
      </c>
      <c r="E16" s="2906"/>
      <c r="F16" s="2891" t="s">
        <v>2382</v>
      </c>
      <c r="G16" s="2870"/>
      <c r="H16" s="2845"/>
      <c r="I16" s="2846"/>
      <c r="J16" s="3731"/>
      <c r="K16" s="3733"/>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739" t="s">
        <v>2384</v>
      </c>
      <c r="C17" s="3740"/>
      <c r="D17" s="2908">
        <f>ROUND(D6*E17,0)</f>
        <v>0</v>
      </c>
      <c r="E17" s="2909"/>
      <c r="F17" s="2910" t="s">
        <v>2385</v>
      </c>
      <c r="G17" s="2870"/>
      <c r="H17" s="2845"/>
      <c r="I17" s="2846"/>
      <c r="J17" s="3731"/>
      <c r="K17" s="3733"/>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731"/>
      <c r="K18" s="3733"/>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731"/>
      <c r="K19" s="3734"/>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31">
        <v>3</v>
      </c>
      <c r="K20" s="3732"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731"/>
      <c r="K21" s="3733"/>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731"/>
      <c r="K22" s="3733"/>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731"/>
      <c r="K23" s="3733"/>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731"/>
      <c r="K24" s="3734"/>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741">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74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724" t="s">
        <v>2317</v>
      </c>
      <c r="K32" s="3725"/>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726" t="s">
        <v>2327</v>
      </c>
      <c r="K33" s="3727"/>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726" t="s">
        <v>2329</v>
      </c>
      <c r="K34" s="372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731">
        <v>1</v>
      </c>
      <c r="K36" s="3732"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731"/>
      <c r="K37" s="3733"/>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31"/>
      <c r="K38" s="3733"/>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731"/>
      <c r="K39" s="3733"/>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731"/>
      <c r="K40" s="3734"/>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1">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74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1381.5361</v>
      </c>
      <c r="C2" s="1870" t="s">
        <v>1651</v>
      </c>
      <c r="D2" s="1871" t="s">
        <v>1652</v>
      </c>
      <c r="E2" s="2605">
        <f>SUM(E6:E13)</f>
        <v>554.57000000000005</v>
      </c>
      <c r="F2" s="2704"/>
      <c r="G2" s="1487"/>
      <c r="H2" s="1487"/>
      <c r="I2" s="1487"/>
      <c r="J2" s="1487"/>
      <c r="K2" s="1487"/>
      <c r="L2" s="1487"/>
      <c r="M2" s="1487"/>
      <c r="N2" s="1487"/>
      <c r="O2" s="1487"/>
      <c r="P2" s="1487"/>
      <c r="Q2" s="1487"/>
      <c r="R2" s="1487"/>
      <c r="S2" s="1487"/>
    </row>
    <row r="3" spans="1:22" ht="15.75">
      <c r="A3" s="1868" t="s">
        <v>686</v>
      </c>
      <c r="B3" s="2599">
        <f ca="1">ROUND(B2*10000/E2,0)</f>
        <v>24912</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743" t="s">
        <v>1654</v>
      </c>
      <c r="C5" s="3744"/>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1381.5361</v>
      </c>
      <c r="C6" s="1870" t="s">
        <v>1651</v>
      </c>
      <c r="D6" s="2706"/>
      <c r="E6" s="2604">
        <f>IF(OR(A6=0,F6="否"),0,'数据-取费表'!K6+'数据-取费表'!S6)</f>
        <v>554.57000000000005</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554.57000000000005</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73" t="s">
        <v>1667</v>
      </c>
      <c r="D4" s="3674"/>
      <c r="E4" s="3675" t="s">
        <v>1668</v>
      </c>
      <c r="F4" s="3676"/>
      <c r="G4" s="3673" t="s">
        <v>1669</v>
      </c>
      <c r="H4" s="3674"/>
      <c r="I4" s="3673" t="s">
        <v>1670</v>
      </c>
      <c r="J4" s="3674"/>
      <c r="K4" s="1887" t="s">
        <v>1671</v>
      </c>
      <c r="L4" s="2712"/>
      <c r="M4" s="2713"/>
      <c r="N4" s="2713"/>
      <c r="O4" s="2713"/>
      <c r="P4" s="3677" t="s">
        <v>1672</v>
      </c>
      <c r="Q4" s="3678"/>
      <c r="R4" s="3660" t="s">
        <v>1668</v>
      </c>
      <c r="S4" s="3661"/>
      <c r="T4" s="3660" t="s">
        <v>1669</v>
      </c>
      <c r="U4" s="3661"/>
      <c r="V4" s="3657" t="s">
        <v>1670</v>
      </c>
      <c r="W4" s="3657"/>
      <c r="X4" s="1353"/>
      <c r="Y4" s="3660" t="s">
        <v>1672</v>
      </c>
      <c r="Z4" s="3661"/>
      <c r="AA4" s="3654" t="s">
        <v>1668</v>
      </c>
      <c r="AB4" s="3654" t="s">
        <v>1669</v>
      </c>
      <c r="AC4" s="3654" t="s">
        <v>1670</v>
      </c>
    </row>
    <row r="5" spans="1:29" ht="15">
      <c r="A5" s="358"/>
      <c r="B5" s="359"/>
      <c r="C5" s="3746" t="s">
        <v>1673</v>
      </c>
      <c r="D5" s="3667"/>
      <c r="E5" s="3745" t="s">
        <v>1674</v>
      </c>
      <c r="F5" s="3665"/>
      <c r="G5" s="3746" t="s">
        <v>1675</v>
      </c>
      <c r="H5" s="3667"/>
      <c r="I5" s="3746" t="s">
        <v>1676</v>
      </c>
      <c r="J5" s="3667"/>
      <c r="K5" s="1888"/>
      <c r="L5" s="2712"/>
      <c r="M5" s="2713"/>
      <c r="N5" s="2713"/>
      <c r="O5" s="2713"/>
      <c r="P5" s="3679"/>
      <c r="Q5" s="3680"/>
      <c r="R5" s="3662"/>
      <c r="S5" s="3663"/>
      <c r="T5" s="3662"/>
      <c r="U5" s="3663"/>
      <c r="V5" s="3657"/>
      <c r="W5" s="3657"/>
      <c r="X5" s="1353"/>
      <c r="Y5" s="3662"/>
      <c r="Z5" s="3663"/>
      <c r="AA5" s="3655"/>
      <c r="AB5" s="3655"/>
      <c r="AC5" s="3655"/>
    </row>
    <row r="6" spans="1:29" ht="15.75" thickBot="1">
      <c r="A6" s="360"/>
      <c r="B6" s="361"/>
      <c r="C6" s="3668" t="s">
        <v>1677</v>
      </c>
      <c r="D6" s="3669"/>
      <c r="E6" s="3670" t="s">
        <v>1677</v>
      </c>
      <c r="F6" s="3671"/>
      <c r="G6" s="3668" t="s">
        <v>1677</v>
      </c>
      <c r="H6" s="3669"/>
      <c r="I6" s="3668" t="s">
        <v>1677</v>
      </c>
      <c r="J6" s="3669"/>
      <c r="K6" s="1888" t="s">
        <v>1678</v>
      </c>
      <c r="L6" s="2712"/>
      <c r="M6" s="2713"/>
      <c r="N6" s="2713"/>
      <c r="O6" s="2713"/>
      <c r="P6" s="3681"/>
      <c r="Q6" s="3682"/>
      <c r="R6" s="3662"/>
      <c r="S6" s="3663"/>
      <c r="T6" s="3683"/>
      <c r="U6" s="3684"/>
      <c r="V6" s="3657"/>
      <c r="W6" s="3657"/>
      <c r="X6" s="1353"/>
      <c r="Y6" s="3683"/>
      <c r="Z6" s="3684"/>
      <c r="AA6" s="3656"/>
      <c r="AB6" s="3656"/>
      <c r="AC6" s="3656"/>
    </row>
    <row r="7" spans="1:29" s="108" customFormat="1" ht="15.75" thickBot="1">
      <c r="A7" s="362" t="s">
        <v>1679</v>
      </c>
      <c r="B7" s="363"/>
      <c r="C7" s="364">
        <f>'数据-取费表'!B2</f>
        <v>45085</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58" t="s">
        <v>1680</v>
      </c>
      <c r="Q7" s="3685"/>
      <c r="R7" s="699" t="s">
        <v>20</v>
      </c>
      <c r="S7" s="700">
        <f t="shared" ref="S7:S15" si="0">F7</f>
        <v>0</v>
      </c>
      <c r="T7" s="699" t="s">
        <v>20</v>
      </c>
      <c r="U7" s="700">
        <f t="shared" ref="U7:U15" si="1">H7</f>
        <v>0</v>
      </c>
      <c r="V7" s="699" t="s">
        <v>20</v>
      </c>
      <c r="W7" s="700">
        <f t="shared" ref="W7:W15" si="2">J7</f>
        <v>0</v>
      </c>
      <c r="X7" s="701"/>
      <c r="Y7" s="3658" t="s">
        <v>1680</v>
      </c>
      <c r="Z7" s="3659"/>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58" t="s">
        <v>1683</v>
      </c>
      <c r="Q8" s="3659"/>
      <c r="R8" s="699" t="s">
        <v>20</v>
      </c>
      <c r="S8" s="700">
        <f t="shared" si="0"/>
        <v>100</v>
      </c>
      <c r="T8" s="699" t="s">
        <v>20</v>
      </c>
      <c r="U8" s="700">
        <f t="shared" si="1"/>
        <v>100</v>
      </c>
      <c r="V8" s="699" t="s">
        <v>20</v>
      </c>
      <c r="W8" s="700">
        <f t="shared" si="2"/>
        <v>100</v>
      </c>
      <c r="X8" s="701"/>
      <c r="Y8" s="3658" t="s">
        <v>1683</v>
      </c>
      <c r="Z8" s="3659"/>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72" t="s">
        <v>1686</v>
      </c>
      <c r="Q9" s="1341" t="str">
        <f t="shared" ref="Q9:Q15" si="6">B9</f>
        <v>用途</v>
      </c>
      <c r="R9" s="699" t="s">
        <v>14</v>
      </c>
      <c r="S9" s="700">
        <f t="shared" si="0"/>
        <v>100</v>
      </c>
      <c r="T9" s="699" t="s">
        <v>14</v>
      </c>
      <c r="U9" s="700">
        <f t="shared" si="1"/>
        <v>100</v>
      </c>
      <c r="V9" s="699" t="s">
        <v>14</v>
      </c>
      <c r="W9" s="700">
        <f t="shared" si="2"/>
        <v>100</v>
      </c>
      <c r="X9" s="701"/>
      <c r="Y9" s="3627"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72"/>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2"/>
      <c r="Q11" s="1341" t="str">
        <f t="shared" si="6"/>
        <v>容积率</v>
      </c>
      <c r="R11" s="699" t="s">
        <v>18</v>
      </c>
      <c r="S11" s="700" t="e">
        <f t="shared" si="0"/>
        <v>#N/A</v>
      </c>
      <c r="T11" s="699" t="s">
        <v>18</v>
      </c>
      <c r="U11" s="700" t="e">
        <f t="shared" si="1"/>
        <v>#N/A</v>
      </c>
      <c r="V11" s="699" t="s">
        <v>18</v>
      </c>
      <c r="W11" s="700" t="e">
        <f t="shared" si="2"/>
        <v>#N/A</v>
      </c>
      <c r="X11" s="701"/>
      <c r="Y11" s="362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72"/>
      <c r="Q12" s="1341">
        <f t="shared" si="6"/>
        <v>111</v>
      </c>
      <c r="R12" s="699" t="s">
        <v>18</v>
      </c>
      <c r="S12" s="700">
        <f t="shared" si="0"/>
        <v>100</v>
      </c>
      <c r="T12" s="699" t="s">
        <v>18</v>
      </c>
      <c r="U12" s="700">
        <f t="shared" si="1"/>
        <v>100</v>
      </c>
      <c r="V12" s="699" t="s">
        <v>18</v>
      </c>
      <c r="W12" s="700">
        <f t="shared" si="2"/>
        <v>100</v>
      </c>
      <c r="X12" s="701"/>
      <c r="Y12" s="362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72"/>
      <c r="Q13" s="1341">
        <f t="shared" si="6"/>
        <v>111</v>
      </c>
      <c r="R13" s="699" t="s">
        <v>18</v>
      </c>
      <c r="S13" s="700">
        <f t="shared" si="0"/>
        <v>100</v>
      </c>
      <c r="T13" s="699" t="s">
        <v>18</v>
      </c>
      <c r="U13" s="700">
        <f t="shared" si="1"/>
        <v>100</v>
      </c>
      <c r="V13" s="699" t="s">
        <v>18</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72"/>
      <c r="Q14" s="1341">
        <f t="shared" si="6"/>
        <v>111</v>
      </c>
      <c r="R14" s="699" t="s">
        <v>18</v>
      </c>
      <c r="S14" s="700">
        <f t="shared" si="0"/>
        <v>100</v>
      </c>
      <c r="T14" s="699" t="s">
        <v>18</v>
      </c>
      <c r="U14" s="700">
        <f t="shared" si="1"/>
        <v>100</v>
      </c>
      <c r="V14" s="699" t="s">
        <v>18</v>
      </c>
      <c r="W14" s="700">
        <f t="shared" si="2"/>
        <v>100</v>
      </c>
      <c r="X14" s="701"/>
      <c r="Y14" s="3627"/>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6" t="s">
        <v>1691</v>
      </c>
      <c r="Q15" s="1350" t="str">
        <f t="shared" si="6"/>
        <v>居住社区成熟度</v>
      </c>
      <c r="R15" s="703" t="s">
        <v>18</v>
      </c>
      <c r="S15" s="704">
        <f t="shared" si="0"/>
        <v>100</v>
      </c>
      <c r="T15" s="703" t="s">
        <v>18</v>
      </c>
      <c r="U15" s="704">
        <f t="shared" si="1"/>
        <v>100</v>
      </c>
      <c r="V15" s="703" t="s">
        <v>18</v>
      </c>
      <c r="W15" s="704">
        <f t="shared" si="2"/>
        <v>100</v>
      </c>
      <c r="X15" s="1353"/>
      <c r="Y15" s="368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87"/>
      <c r="Q16" s="1350"/>
      <c r="R16" s="703"/>
      <c r="S16" s="704"/>
      <c r="T16" s="703"/>
      <c r="U16" s="704"/>
      <c r="V16" s="703"/>
      <c r="W16" s="704"/>
      <c r="X16" s="1353"/>
      <c r="Y16" s="368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7"/>
      <c r="Q17" s="1350" t="str">
        <f>B17</f>
        <v>交通便捷度</v>
      </c>
      <c r="R17" s="703" t="s">
        <v>18</v>
      </c>
      <c r="S17" s="704">
        <f>F17</f>
        <v>100</v>
      </c>
      <c r="T17" s="703" t="s">
        <v>18</v>
      </c>
      <c r="U17" s="704">
        <f>H17</f>
        <v>100</v>
      </c>
      <c r="V17" s="703" t="s">
        <v>18</v>
      </c>
      <c r="W17" s="704">
        <f>J17</f>
        <v>100</v>
      </c>
      <c r="X17" s="1353"/>
      <c r="Y17" s="368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87"/>
      <c r="Q18" s="1350"/>
      <c r="R18" s="703"/>
      <c r="S18" s="704"/>
      <c r="T18" s="703"/>
      <c r="U18" s="704"/>
      <c r="V18" s="703"/>
      <c r="W18" s="704"/>
      <c r="X18" s="1353"/>
      <c r="Y18" s="368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7"/>
      <c r="Q19" s="1350" t="str">
        <f>B19</f>
        <v>公共配套设施</v>
      </c>
      <c r="R19" s="703" t="s">
        <v>18</v>
      </c>
      <c r="S19" s="704">
        <f>F19</f>
        <v>100</v>
      </c>
      <c r="T19" s="703" t="s">
        <v>18</v>
      </c>
      <c r="U19" s="704">
        <f>H19</f>
        <v>100</v>
      </c>
      <c r="V19" s="703" t="s">
        <v>18</v>
      </c>
      <c r="W19" s="704">
        <f>J19</f>
        <v>100</v>
      </c>
      <c r="X19" s="1353"/>
      <c r="Y19" s="368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87"/>
      <c r="Q20" s="1350"/>
      <c r="R20" s="703"/>
      <c r="S20" s="704"/>
      <c r="T20" s="703"/>
      <c r="U20" s="704"/>
      <c r="V20" s="703"/>
      <c r="W20" s="704"/>
      <c r="X20" s="1353"/>
      <c r="Y20" s="368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7"/>
      <c r="Q21" s="1350" t="str">
        <f>B21</f>
        <v>基础设施水平</v>
      </c>
      <c r="R21" s="703" t="s">
        <v>14</v>
      </c>
      <c r="S21" s="704">
        <f>F21</f>
        <v>100</v>
      </c>
      <c r="T21" s="703" t="s">
        <v>14</v>
      </c>
      <c r="U21" s="704">
        <f>H21</f>
        <v>100</v>
      </c>
      <c r="V21" s="703" t="s">
        <v>14</v>
      </c>
      <c r="W21" s="704">
        <f>J21</f>
        <v>100</v>
      </c>
      <c r="X21" s="1353"/>
      <c r="Y21" s="368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687"/>
      <c r="Q22" s="1350"/>
      <c r="R22" s="703"/>
      <c r="S22" s="704"/>
      <c r="T22" s="703"/>
      <c r="U22" s="704"/>
      <c r="V22" s="703"/>
      <c r="W22" s="704"/>
      <c r="X22" s="1353"/>
      <c r="Y22" s="368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7"/>
      <c r="Q23" s="1350" t="str">
        <f>B23</f>
        <v>自然及人文环境</v>
      </c>
      <c r="R23" s="703" t="s">
        <v>18</v>
      </c>
      <c r="S23" s="704">
        <f>F23</f>
        <v>100</v>
      </c>
      <c r="T23" s="703" t="s">
        <v>18</v>
      </c>
      <c r="U23" s="704">
        <f>H23</f>
        <v>100</v>
      </c>
      <c r="V23" s="703" t="s">
        <v>18</v>
      </c>
      <c r="W23" s="704">
        <f>J23</f>
        <v>100</v>
      </c>
      <c r="X23" s="1353"/>
      <c r="Y23" s="368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87"/>
      <c r="Q24" s="1350"/>
      <c r="R24" s="703"/>
      <c r="S24" s="704"/>
      <c r="T24" s="703"/>
      <c r="U24" s="704"/>
      <c r="V24" s="703"/>
      <c r="W24" s="704"/>
      <c r="X24" s="1353"/>
      <c r="Y24" s="368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8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8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87"/>
      <c r="Q26" s="1350" t="str">
        <f t="shared" si="11"/>
        <v>朝向</v>
      </c>
      <c r="R26" s="703" t="s">
        <v>18</v>
      </c>
      <c r="S26" s="704">
        <f t="shared" si="12"/>
        <v>100</v>
      </c>
      <c r="T26" s="703" t="s">
        <v>18</v>
      </c>
      <c r="U26" s="704">
        <f t="shared" si="13"/>
        <v>100</v>
      </c>
      <c r="V26" s="703" t="s">
        <v>18</v>
      </c>
      <c r="W26" s="704">
        <f t="shared" si="14"/>
        <v>100</v>
      </c>
      <c r="X26" s="1353"/>
      <c r="Y26" s="368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87"/>
      <c r="Q27" s="1341">
        <f t="shared" si="11"/>
        <v>111</v>
      </c>
      <c r="R27" s="699" t="s">
        <v>18</v>
      </c>
      <c r="S27" s="700">
        <f t="shared" si="12"/>
        <v>100</v>
      </c>
      <c r="T27" s="699" t="s">
        <v>18</v>
      </c>
      <c r="U27" s="700">
        <f t="shared" si="13"/>
        <v>100</v>
      </c>
      <c r="V27" s="699" t="s">
        <v>18</v>
      </c>
      <c r="W27" s="700">
        <f t="shared" si="14"/>
        <v>100</v>
      </c>
      <c r="X27" s="701"/>
      <c r="Y27" s="368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87"/>
      <c r="Q28" s="1350">
        <f t="shared" si="11"/>
        <v>111</v>
      </c>
      <c r="R28" s="703" t="s">
        <v>18</v>
      </c>
      <c r="S28" s="704">
        <f t="shared" si="12"/>
        <v>100</v>
      </c>
      <c r="T28" s="703" t="s">
        <v>18</v>
      </c>
      <c r="U28" s="704">
        <f t="shared" si="13"/>
        <v>100</v>
      </c>
      <c r="V28" s="703" t="s">
        <v>18</v>
      </c>
      <c r="W28" s="704">
        <f t="shared" si="14"/>
        <v>100</v>
      </c>
      <c r="X28" s="1353"/>
      <c r="Y28" s="368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87"/>
      <c r="Q29" s="1350">
        <f t="shared" si="11"/>
        <v>111</v>
      </c>
      <c r="R29" s="703" t="s">
        <v>18</v>
      </c>
      <c r="S29" s="704">
        <f t="shared" si="12"/>
        <v>100</v>
      </c>
      <c r="T29" s="703" t="s">
        <v>18</v>
      </c>
      <c r="U29" s="704">
        <f t="shared" si="13"/>
        <v>100</v>
      </c>
      <c r="V29" s="703" t="s">
        <v>18</v>
      </c>
      <c r="W29" s="704">
        <f t="shared" si="14"/>
        <v>100</v>
      </c>
      <c r="X29" s="1353"/>
      <c r="Y29" s="368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87"/>
      <c r="Q30" s="1350">
        <f t="shared" si="11"/>
        <v>111</v>
      </c>
      <c r="R30" s="703" t="s">
        <v>18</v>
      </c>
      <c r="S30" s="704">
        <f t="shared" si="12"/>
        <v>100</v>
      </c>
      <c r="T30" s="703" t="s">
        <v>18</v>
      </c>
      <c r="U30" s="704">
        <f t="shared" si="13"/>
        <v>100</v>
      </c>
      <c r="V30" s="703" t="s">
        <v>18</v>
      </c>
      <c r="W30" s="704">
        <f t="shared" si="14"/>
        <v>100</v>
      </c>
      <c r="X30" s="1353"/>
      <c r="Y30" s="368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87"/>
      <c r="Q31" s="1350">
        <f t="shared" si="11"/>
        <v>111</v>
      </c>
      <c r="R31" s="703" t="s">
        <v>18</v>
      </c>
      <c r="S31" s="704">
        <f t="shared" si="12"/>
        <v>100</v>
      </c>
      <c r="T31" s="703" t="s">
        <v>18</v>
      </c>
      <c r="U31" s="704">
        <f t="shared" si="13"/>
        <v>100</v>
      </c>
      <c r="V31" s="703" t="s">
        <v>18</v>
      </c>
      <c r="W31" s="704">
        <f t="shared" si="14"/>
        <v>100</v>
      </c>
      <c r="X31" s="1353"/>
      <c r="Y31" s="368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90" t="s">
        <v>1696</v>
      </c>
      <c r="Q32" s="1350" t="str">
        <f t="shared" si="11"/>
        <v>建筑类型</v>
      </c>
      <c r="R32" s="703" t="s">
        <v>18</v>
      </c>
      <c r="S32" s="704">
        <f t="shared" si="12"/>
        <v>100</v>
      </c>
      <c r="T32" s="703" t="s">
        <v>18</v>
      </c>
      <c r="U32" s="704">
        <f t="shared" si="13"/>
        <v>100</v>
      </c>
      <c r="V32" s="703" t="s">
        <v>18</v>
      </c>
      <c r="W32" s="704">
        <f t="shared" si="14"/>
        <v>100</v>
      </c>
      <c r="X32" s="1353"/>
      <c r="Y32" s="369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91"/>
      <c r="Q33" s="705" t="str">
        <f t="shared" si="11"/>
        <v>项目建筑规模</v>
      </c>
      <c r="R33" s="706" t="s">
        <v>18</v>
      </c>
      <c r="S33" s="707" t="e">
        <f t="shared" si="12"/>
        <v>#N/A</v>
      </c>
      <c r="T33" s="706" t="s">
        <v>18</v>
      </c>
      <c r="U33" s="707" t="e">
        <f t="shared" si="13"/>
        <v>#N/A</v>
      </c>
      <c r="V33" s="706" t="s">
        <v>18</v>
      </c>
      <c r="W33" s="707" t="e">
        <f t="shared" si="14"/>
        <v>#N/A</v>
      </c>
      <c r="X33" s="708"/>
      <c r="Y33" s="369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91"/>
      <c r="Q34" s="1350" t="str">
        <f t="shared" si="11"/>
        <v>建筑结构</v>
      </c>
      <c r="R34" s="703" t="s">
        <v>18</v>
      </c>
      <c r="S34" s="704">
        <f t="shared" si="12"/>
        <v>100</v>
      </c>
      <c r="T34" s="703" t="s">
        <v>18</v>
      </c>
      <c r="U34" s="704">
        <f t="shared" si="13"/>
        <v>100</v>
      </c>
      <c r="V34" s="703" t="s">
        <v>18</v>
      </c>
      <c r="W34" s="704">
        <f t="shared" si="14"/>
        <v>100</v>
      </c>
      <c r="X34" s="1353"/>
      <c r="Y34" s="369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91"/>
      <c r="Q35" s="1350" t="str">
        <f t="shared" si="11"/>
        <v>建筑品质</v>
      </c>
      <c r="R35" s="703" t="s">
        <v>18</v>
      </c>
      <c r="S35" s="704">
        <f t="shared" si="12"/>
        <v>100</v>
      </c>
      <c r="T35" s="703" t="s">
        <v>18</v>
      </c>
      <c r="U35" s="704">
        <f t="shared" si="13"/>
        <v>100</v>
      </c>
      <c r="V35" s="703" t="s">
        <v>18</v>
      </c>
      <c r="W35" s="704">
        <f t="shared" si="14"/>
        <v>100</v>
      </c>
      <c r="X35" s="1353"/>
      <c r="Y35" s="369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91"/>
      <c r="Q36" s="1350" t="str">
        <f t="shared" si="11"/>
        <v>公共部分装修</v>
      </c>
      <c r="R36" s="703" t="s">
        <v>18</v>
      </c>
      <c r="S36" s="704">
        <f t="shared" si="12"/>
        <v>100</v>
      </c>
      <c r="T36" s="703" t="s">
        <v>18</v>
      </c>
      <c r="U36" s="704">
        <f t="shared" si="13"/>
        <v>100</v>
      </c>
      <c r="V36" s="703" t="s">
        <v>18</v>
      </c>
      <c r="W36" s="704">
        <f t="shared" si="14"/>
        <v>100</v>
      </c>
      <c r="X36" s="1353"/>
      <c r="Y36" s="369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1"/>
      <c r="Q37" s="1341" t="str">
        <f t="shared" si="11"/>
        <v>成新度</v>
      </c>
      <c r="R37" s="699" t="s">
        <v>18</v>
      </c>
      <c r="S37" s="700" t="e">
        <f t="shared" si="12"/>
        <v>#N/A</v>
      </c>
      <c r="T37" s="699" t="s">
        <v>18</v>
      </c>
      <c r="U37" s="700" t="e">
        <f t="shared" si="13"/>
        <v>#N/A</v>
      </c>
      <c r="V37" s="699" t="s">
        <v>18</v>
      </c>
      <c r="W37" s="700" t="e">
        <f t="shared" si="14"/>
        <v>#N/A</v>
      </c>
      <c r="X37" s="701"/>
      <c r="Y37" s="369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91" t="s">
        <v>1696</v>
      </c>
      <c r="Q38" s="1350" t="str">
        <f t="shared" si="11"/>
        <v>物业管理</v>
      </c>
      <c r="R38" s="703" t="s">
        <v>18</v>
      </c>
      <c r="S38" s="704">
        <f t="shared" si="12"/>
        <v>100</v>
      </c>
      <c r="T38" s="703" t="s">
        <v>18</v>
      </c>
      <c r="U38" s="704">
        <f t="shared" si="13"/>
        <v>100</v>
      </c>
      <c r="V38" s="703" t="s">
        <v>18</v>
      </c>
      <c r="W38" s="704">
        <f t="shared" si="14"/>
        <v>100</v>
      </c>
      <c r="X38" s="1353"/>
      <c r="Y38" s="369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91"/>
      <c r="Q39" s="1350" t="str">
        <f t="shared" si="11"/>
        <v>市政基础设施</v>
      </c>
      <c r="R39" s="703" t="s">
        <v>18</v>
      </c>
      <c r="S39" s="704">
        <f t="shared" si="12"/>
        <v>100</v>
      </c>
      <c r="T39" s="703" t="s">
        <v>18</v>
      </c>
      <c r="U39" s="704">
        <f t="shared" si="13"/>
        <v>100</v>
      </c>
      <c r="V39" s="703" t="s">
        <v>18</v>
      </c>
      <c r="W39" s="704">
        <f t="shared" si="14"/>
        <v>100</v>
      </c>
      <c r="X39" s="1353"/>
      <c r="Y39" s="369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91"/>
      <c r="Q40" s="1350" t="str">
        <f t="shared" si="11"/>
        <v>房型</v>
      </c>
      <c r="R40" s="703" t="s">
        <v>18</v>
      </c>
      <c r="S40" s="704">
        <f t="shared" si="12"/>
        <v>100</v>
      </c>
      <c r="T40" s="703" t="s">
        <v>18</v>
      </c>
      <c r="U40" s="704">
        <f t="shared" si="13"/>
        <v>100</v>
      </c>
      <c r="V40" s="703" t="s">
        <v>18</v>
      </c>
      <c r="W40" s="704">
        <f t="shared" si="14"/>
        <v>100</v>
      </c>
      <c r="X40" s="1353"/>
      <c r="Y40" s="369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91"/>
      <c r="Q41" s="705" t="str">
        <f t="shared" si="11"/>
        <v>单套/主力户型建筑面积</v>
      </c>
      <c r="R41" s="706" t="s">
        <v>18</v>
      </c>
      <c r="S41" s="707">
        <f t="shared" si="12"/>
        <v>100</v>
      </c>
      <c r="T41" s="706" t="s">
        <v>18</v>
      </c>
      <c r="U41" s="707">
        <f t="shared" si="13"/>
        <v>100</v>
      </c>
      <c r="V41" s="706" t="s">
        <v>18</v>
      </c>
      <c r="W41" s="707">
        <f t="shared" si="14"/>
        <v>100</v>
      </c>
      <c r="X41" s="708"/>
      <c r="Y41" s="369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91"/>
      <c r="Q42" s="1350" t="str">
        <f t="shared" si="11"/>
        <v>内部装修</v>
      </c>
      <c r="R42" s="703" t="s">
        <v>18</v>
      </c>
      <c r="S42" s="704">
        <f t="shared" si="12"/>
        <v>100</v>
      </c>
      <c r="T42" s="703" t="s">
        <v>18</v>
      </c>
      <c r="U42" s="704">
        <f t="shared" si="13"/>
        <v>100</v>
      </c>
      <c r="V42" s="703" t="s">
        <v>18</v>
      </c>
      <c r="W42" s="704">
        <f t="shared" si="14"/>
        <v>100</v>
      </c>
      <c r="X42" s="1353"/>
      <c r="Y42" s="369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91"/>
      <c r="Q43" s="1350" t="str">
        <f t="shared" si="11"/>
        <v>内部装修维护情况</v>
      </c>
      <c r="R43" s="703" t="s">
        <v>18</v>
      </c>
      <c r="S43" s="704">
        <f t="shared" si="12"/>
        <v>100</v>
      </c>
      <c r="T43" s="703" t="s">
        <v>18</v>
      </c>
      <c r="U43" s="704">
        <f t="shared" si="13"/>
        <v>100</v>
      </c>
      <c r="V43" s="703" t="s">
        <v>18</v>
      </c>
      <c r="W43" s="704">
        <f t="shared" si="14"/>
        <v>100</v>
      </c>
      <c r="X43" s="1353"/>
      <c r="Y43" s="369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91"/>
      <c r="Q44" s="1341">
        <f t="shared" si="11"/>
        <v>111</v>
      </c>
      <c r="R44" s="699" t="s">
        <v>18</v>
      </c>
      <c r="S44" s="700">
        <f t="shared" si="12"/>
        <v>100</v>
      </c>
      <c r="T44" s="699" t="s">
        <v>18</v>
      </c>
      <c r="U44" s="700">
        <f t="shared" si="13"/>
        <v>100</v>
      </c>
      <c r="V44" s="699" t="s">
        <v>18</v>
      </c>
      <c r="W44" s="700">
        <f t="shared" si="14"/>
        <v>100</v>
      </c>
      <c r="X44" s="701"/>
      <c r="Y44" s="369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91"/>
      <c r="Q45" s="1350">
        <f t="shared" si="11"/>
        <v>111</v>
      </c>
      <c r="R45" s="703" t="s">
        <v>18</v>
      </c>
      <c r="S45" s="704">
        <f t="shared" si="12"/>
        <v>100</v>
      </c>
      <c r="T45" s="703" t="s">
        <v>18</v>
      </c>
      <c r="U45" s="704">
        <f t="shared" si="13"/>
        <v>100</v>
      </c>
      <c r="V45" s="703" t="s">
        <v>18</v>
      </c>
      <c r="W45" s="704">
        <f t="shared" si="14"/>
        <v>100</v>
      </c>
      <c r="X45" s="1353"/>
      <c r="Y45" s="369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92"/>
      <c r="Q46" s="1350">
        <f t="shared" si="11"/>
        <v>111</v>
      </c>
      <c r="R46" s="703" t="s">
        <v>17</v>
      </c>
      <c r="S46" s="704">
        <f t="shared" si="12"/>
        <v>100</v>
      </c>
      <c r="T46" s="703" t="s">
        <v>17</v>
      </c>
      <c r="U46" s="704">
        <f t="shared" si="13"/>
        <v>100</v>
      </c>
      <c r="V46" s="703" t="s">
        <v>17</v>
      </c>
      <c r="W46" s="704">
        <f t="shared" si="14"/>
        <v>100</v>
      </c>
      <c r="X46" s="1353"/>
      <c r="Y46" s="369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695" t="str">
        <f>A47</f>
        <v>成交单价（元/平方米）</v>
      </c>
      <c r="Q47" s="3695"/>
      <c r="R47" s="3696">
        <f>E47</f>
        <v>0</v>
      </c>
      <c r="S47" s="3696"/>
      <c r="T47" s="3696">
        <f>G47</f>
        <v>0</v>
      </c>
      <c r="U47" s="3696"/>
      <c r="V47" s="3696">
        <f>I47</f>
        <v>0</v>
      </c>
      <c r="W47" s="3696"/>
      <c r="X47" s="688"/>
      <c r="Y47" s="710"/>
      <c r="Z47" s="688"/>
      <c r="AA47" s="688"/>
      <c r="AB47" s="688"/>
      <c r="AC47" s="688"/>
    </row>
    <row r="48" spans="1:29" ht="15.75" thickBot="1">
      <c r="A48" s="437" t="s">
        <v>1709</v>
      </c>
      <c r="B48" s="438"/>
      <c r="C48" s="1158" t="e">
        <f>R49</f>
        <v>#DIV/0!</v>
      </c>
      <c r="D48" s="2315" t="s">
        <v>2135</v>
      </c>
      <c r="E48" s="1159" t="e">
        <f>R48</f>
        <v>#DIV/0!</v>
      </c>
      <c r="F48" s="2316"/>
      <c r="G48" s="1158" t="e">
        <f>T48</f>
        <v>#DIV/0!</v>
      </c>
      <c r="H48" s="2316"/>
      <c r="I48" s="1159" t="e">
        <f>V48</f>
        <v>#DIV/0!</v>
      </c>
      <c r="J48" s="2316"/>
      <c r="K48" s="2317">
        <f>F48+H48+J48</f>
        <v>0</v>
      </c>
      <c r="L48" s="2721"/>
      <c r="M48" s="2722"/>
      <c r="N48" s="2722"/>
      <c r="O48" s="2722"/>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2023-6</v>
      </c>
      <c r="D58" s="1183">
        <f>EDATE(C58,-1)</f>
        <v>45047</v>
      </c>
      <c r="E58" s="1183">
        <f>EDATE(D58,-1)</f>
        <v>45017</v>
      </c>
      <c r="F58" s="1183">
        <f t="shared" ref="F58:O58" si="19">EDATE(E58,-1)</f>
        <v>44986</v>
      </c>
      <c r="G58" s="1183">
        <f t="shared" si="19"/>
        <v>44958</v>
      </c>
      <c r="H58" s="1183">
        <f t="shared" si="19"/>
        <v>44927</v>
      </c>
      <c r="I58" s="1183">
        <f t="shared" si="19"/>
        <v>44896</v>
      </c>
      <c r="J58" s="1183">
        <f t="shared" si="19"/>
        <v>44866</v>
      </c>
      <c r="K58" s="1183">
        <f t="shared" si="19"/>
        <v>44835</v>
      </c>
      <c r="L58" s="1183">
        <f t="shared" si="19"/>
        <v>44805</v>
      </c>
      <c r="M58" s="1183">
        <f t="shared" si="19"/>
        <v>44774</v>
      </c>
      <c r="N58" s="1183">
        <f t="shared" si="19"/>
        <v>44743</v>
      </c>
      <c r="O58" s="1183">
        <f t="shared" si="19"/>
        <v>44713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554.57000000000005</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73" t="s">
        <v>1770</v>
      </c>
      <c r="D4" s="3674"/>
      <c r="E4" s="3675" t="s">
        <v>1771</v>
      </c>
      <c r="F4" s="3676"/>
      <c r="G4" s="3673" t="s">
        <v>1772</v>
      </c>
      <c r="H4" s="3674"/>
      <c r="I4" s="3673" t="s">
        <v>1773</v>
      </c>
      <c r="J4" s="3674"/>
      <c r="K4" s="559" t="s">
        <v>1774</v>
      </c>
      <c r="L4" s="2712"/>
      <c r="M4" s="2713"/>
      <c r="N4" s="2713"/>
      <c r="O4" s="2713"/>
      <c r="P4" s="3753" t="s">
        <v>1775</v>
      </c>
      <c r="Q4" s="3754"/>
      <c r="R4" s="3748" t="s">
        <v>1771</v>
      </c>
      <c r="S4" s="3749"/>
      <c r="T4" s="3748" t="s">
        <v>1772</v>
      </c>
      <c r="U4" s="3749"/>
      <c r="V4" s="3757" t="s">
        <v>1773</v>
      </c>
      <c r="W4" s="3757"/>
      <c r="X4" s="1956"/>
      <c r="Y4" s="3748" t="s">
        <v>1775</v>
      </c>
      <c r="Z4" s="3749"/>
      <c r="AA4" s="3747" t="s">
        <v>1771</v>
      </c>
      <c r="AB4" s="3747" t="s">
        <v>1772</v>
      </c>
      <c r="AC4" s="3750" t="s">
        <v>1773</v>
      </c>
    </row>
    <row r="5" spans="1:29" ht="15">
      <c r="A5" s="358"/>
      <c r="B5" s="359"/>
      <c r="C5" s="3746" t="s">
        <v>1673</v>
      </c>
      <c r="D5" s="3667"/>
      <c r="E5" s="3745" t="s">
        <v>1674</v>
      </c>
      <c r="F5" s="3665"/>
      <c r="G5" s="3746" t="s">
        <v>1675</v>
      </c>
      <c r="H5" s="3667"/>
      <c r="I5" s="3746" t="s">
        <v>1676</v>
      </c>
      <c r="J5" s="3667"/>
      <c r="K5" s="559"/>
      <c r="L5" s="2712"/>
      <c r="M5" s="2713"/>
      <c r="N5" s="2713"/>
      <c r="O5" s="2713"/>
      <c r="P5" s="3755"/>
      <c r="Q5" s="3680"/>
      <c r="R5" s="3662"/>
      <c r="S5" s="3663"/>
      <c r="T5" s="3662"/>
      <c r="U5" s="3663"/>
      <c r="V5" s="3657"/>
      <c r="W5" s="3657"/>
      <c r="X5" s="1353"/>
      <c r="Y5" s="3662"/>
      <c r="Z5" s="3663"/>
      <c r="AA5" s="3655"/>
      <c r="AB5" s="3655"/>
      <c r="AC5" s="3751"/>
    </row>
    <row r="6" spans="1:29" ht="15.75" thickBot="1">
      <c r="A6" s="360"/>
      <c r="B6" s="361"/>
      <c r="C6" s="3668" t="s">
        <v>1677</v>
      </c>
      <c r="D6" s="3669"/>
      <c r="E6" s="3670" t="s">
        <v>1677</v>
      </c>
      <c r="F6" s="3671"/>
      <c r="G6" s="3668" t="s">
        <v>1677</v>
      </c>
      <c r="H6" s="3669"/>
      <c r="I6" s="3668" t="s">
        <v>1677</v>
      </c>
      <c r="J6" s="3669"/>
      <c r="K6" s="559" t="s">
        <v>1678</v>
      </c>
      <c r="L6" s="2712"/>
      <c r="M6" s="2713"/>
      <c r="N6" s="2713"/>
      <c r="O6" s="2713"/>
      <c r="P6" s="3756"/>
      <c r="Q6" s="3682"/>
      <c r="R6" s="3662"/>
      <c r="S6" s="3663"/>
      <c r="T6" s="3683"/>
      <c r="U6" s="3684"/>
      <c r="V6" s="3657"/>
      <c r="W6" s="3657"/>
      <c r="X6" s="1353"/>
      <c r="Y6" s="3683"/>
      <c r="Z6" s="3684"/>
      <c r="AA6" s="3656"/>
      <c r="AB6" s="3656"/>
      <c r="AC6" s="3752"/>
    </row>
    <row r="7" spans="1:29" s="108" customFormat="1" ht="15.75" thickBot="1">
      <c r="A7" s="362" t="s">
        <v>1679</v>
      </c>
      <c r="B7" s="363"/>
      <c r="C7" s="364">
        <f>'数据-取费表'!B2</f>
        <v>45085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8" t="s">
        <v>1680</v>
      </c>
      <c r="Q7" s="3685"/>
      <c r="R7" s="699" t="s">
        <v>14</v>
      </c>
      <c r="S7" s="700">
        <f t="shared" ref="S7:S15" si="0">F7</f>
        <v>0</v>
      </c>
      <c r="T7" s="699" t="s">
        <v>14</v>
      </c>
      <c r="U7" s="700">
        <f t="shared" ref="U7:U15" si="1">H7</f>
        <v>0</v>
      </c>
      <c r="V7" s="699" t="s">
        <v>14</v>
      </c>
      <c r="W7" s="700">
        <f t="shared" ref="W7:W15" si="2">J7</f>
        <v>0</v>
      </c>
      <c r="X7" s="701"/>
      <c r="Y7" s="3658" t="s">
        <v>1680</v>
      </c>
      <c r="Z7" s="3659"/>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8" t="s">
        <v>1683</v>
      </c>
      <c r="Q8" s="3659"/>
      <c r="R8" s="699" t="s">
        <v>14</v>
      </c>
      <c r="S8" s="700">
        <f t="shared" si="0"/>
        <v>100</v>
      </c>
      <c r="T8" s="699" t="s">
        <v>14</v>
      </c>
      <c r="U8" s="700">
        <f t="shared" si="1"/>
        <v>100</v>
      </c>
      <c r="V8" s="699" t="s">
        <v>14</v>
      </c>
      <c r="W8" s="700">
        <f t="shared" si="2"/>
        <v>100</v>
      </c>
      <c r="X8" s="701"/>
      <c r="Y8" s="3658" t="s">
        <v>1683</v>
      </c>
      <c r="Z8" s="3659"/>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2" t="s">
        <v>1686</v>
      </c>
      <c r="Q9" s="1341" t="str">
        <f t="shared" ref="Q9:Q15" si="6">B9</f>
        <v>用途</v>
      </c>
      <c r="R9" s="699" t="s">
        <v>14</v>
      </c>
      <c r="S9" s="700">
        <f t="shared" si="0"/>
        <v>100</v>
      </c>
      <c r="T9" s="699" t="s">
        <v>14</v>
      </c>
      <c r="U9" s="700">
        <f t="shared" si="1"/>
        <v>100</v>
      </c>
      <c r="V9" s="699" t="s">
        <v>14</v>
      </c>
      <c r="W9" s="700">
        <f t="shared" si="2"/>
        <v>100</v>
      </c>
      <c r="X9" s="701"/>
      <c r="Y9" s="3627" t="s">
        <v>1687</v>
      </c>
      <c r="Z9" s="52"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2"/>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2"/>
      <c r="Q11" s="1341" t="str">
        <f t="shared" si="6"/>
        <v>容积率</v>
      </c>
      <c r="R11" s="699" t="s">
        <v>14</v>
      </c>
      <c r="S11" s="700">
        <f t="shared" si="0"/>
        <v>100</v>
      </c>
      <c r="T11" s="699" t="s">
        <v>14</v>
      </c>
      <c r="U11" s="700">
        <f t="shared" si="1"/>
        <v>100</v>
      </c>
      <c r="V11" s="699" t="s">
        <v>14</v>
      </c>
      <c r="W11" s="700">
        <f t="shared" si="2"/>
        <v>100</v>
      </c>
      <c r="X11" s="701"/>
      <c r="Y11" s="3627"/>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72"/>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72"/>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672"/>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6" t="s">
        <v>1691</v>
      </c>
      <c r="Q15" s="1350" t="str">
        <f t="shared" si="6"/>
        <v>办公集聚程度</v>
      </c>
      <c r="R15" s="703" t="s">
        <v>14</v>
      </c>
      <c r="S15" s="704">
        <f t="shared" si="0"/>
        <v>100</v>
      </c>
      <c r="T15" s="703" t="s">
        <v>14</v>
      </c>
      <c r="U15" s="704">
        <f t="shared" si="1"/>
        <v>100</v>
      </c>
      <c r="V15" s="703" t="s">
        <v>14</v>
      </c>
      <c r="W15" s="704">
        <f t="shared" si="2"/>
        <v>100</v>
      </c>
      <c r="X15" s="1353"/>
      <c r="Y15" s="3688"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9"/>
      <c r="M16" s="2713"/>
      <c r="N16" s="2713"/>
      <c r="O16" s="2713"/>
      <c r="P16" s="3687"/>
      <c r="Q16" s="1350"/>
      <c r="R16" s="703"/>
      <c r="S16" s="704"/>
      <c r="T16" s="703"/>
      <c r="U16" s="704"/>
      <c r="V16" s="703"/>
      <c r="W16" s="704"/>
      <c r="X16" s="1353"/>
      <c r="Y16" s="3689"/>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7"/>
      <c r="Q17" s="1350" t="str">
        <f>B17</f>
        <v>交通便捷度</v>
      </c>
      <c r="R17" s="703" t="s">
        <v>14</v>
      </c>
      <c r="S17" s="704">
        <f>F17</f>
        <v>100</v>
      </c>
      <c r="T17" s="703" t="s">
        <v>14</v>
      </c>
      <c r="U17" s="704">
        <f>H17</f>
        <v>100</v>
      </c>
      <c r="V17" s="703" t="s">
        <v>14</v>
      </c>
      <c r="W17" s="704">
        <f>J17</f>
        <v>100</v>
      </c>
      <c r="X17" s="1353"/>
      <c r="Y17" s="3689"/>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9"/>
      <c r="M18" s="2713"/>
      <c r="N18" s="2713"/>
      <c r="O18" s="2713"/>
      <c r="P18" s="3687"/>
      <c r="Q18" s="1350"/>
      <c r="R18" s="703"/>
      <c r="S18" s="704"/>
      <c r="T18" s="703"/>
      <c r="U18" s="704"/>
      <c r="V18" s="703"/>
      <c r="W18" s="704"/>
      <c r="X18" s="1353"/>
      <c r="Y18" s="3689"/>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7"/>
      <c r="Q19" s="1350" t="str">
        <f>B19</f>
        <v>公共配套设施</v>
      </c>
      <c r="R19" s="703" t="s">
        <v>14</v>
      </c>
      <c r="S19" s="704">
        <f>F19</f>
        <v>100</v>
      </c>
      <c r="T19" s="703" t="s">
        <v>14</v>
      </c>
      <c r="U19" s="704">
        <f>H19</f>
        <v>100</v>
      </c>
      <c r="V19" s="703" t="s">
        <v>14</v>
      </c>
      <c r="W19" s="704">
        <f>J19</f>
        <v>100</v>
      </c>
      <c r="X19" s="1353"/>
      <c r="Y19" s="3689"/>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9"/>
      <c r="M20" s="2713"/>
      <c r="N20" s="2713"/>
      <c r="O20" s="2713"/>
      <c r="P20" s="3687"/>
      <c r="Q20" s="1350"/>
      <c r="R20" s="703"/>
      <c r="S20" s="704"/>
      <c r="T20" s="703"/>
      <c r="U20" s="704"/>
      <c r="V20" s="703"/>
      <c r="W20" s="704"/>
      <c r="X20" s="1353"/>
      <c r="Y20" s="3689"/>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7"/>
      <c r="Q21" s="1350" t="str">
        <f>B21</f>
        <v>基础设施水平</v>
      </c>
      <c r="R21" s="703" t="s">
        <v>14</v>
      </c>
      <c r="S21" s="704">
        <f>F21</f>
        <v>100</v>
      </c>
      <c r="T21" s="703" t="s">
        <v>14</v>
      </c>
      <c r="U21" s="704">
        <f>H21</f>
        <v>100</v>
      </c>
      <c r="V21" s="703" t="s">
        <v>14</v>
      </c>
      <c r="W21" s="704">
        <f>J21</f>
        <v>100</v>
      </c>
      <c r="X21" s="1353"/>
      <c r="Y21" s="3689"/>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19"/>
      <c r="M22" s="2713"/>
      <c r="N22" s="2713"/>
      <c r="O22" s="2713"/>
      <c r="P22" s="3687"/>
      <c r="Q22" s="1350"/>
      <c r="R22" s="703"/>
      <c r="S22" s="704"/>
      <c r="T22" s="703"/>
      <c r="U22" s="704"/>
      <c r="V22" s="703"/>
      <c r="W22" s="704"/>
      <c r="X22" s="1353"/>
      <c r="Y22" s="3689"/>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7"/>
      <c r="Q23" s="1350" t="str">
        <f>B23</f>
        <v>环境质量</v>
      </c>
      <c r="R23" s="703" t="s">
        <v>14</v>
      </c>
      <c r="S23" s="704">
        <f>F23</f>
        <v>100</v>
      </c>
      <c r="T23" s="703" t="s">
        <v>14</v>
      </c>
      <c r="U23" s="704">
        <f>H23</f>
        <v>100</v>
      </c>
      <c r="V23" s="703" t="s">
        <v>14</v>
      </c>
      <c r="W23" s="704">
        <f>J23</f>
        <v>100</v>
      </c>
      <c r="X23" s="1353"/>
      <c r="Y23" s="3689"/>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9"/>
      <c r="M24" s="2713"/>
      <c r="N24" s="2713"/>
      <c r="O24" s="2713"/>
      <c r="P24" s="3687"/>
      <c r="Q24" s="1350"/>
      <c r="R24" s="703"/>
      <c r="S24" s="704"/>
      <c r="T24" s="703"/>
      <c r="U24" s="704"/>
      <c r="V24" s="703"/>
      <c r="W24" s="704"/>
      <c r="X24" s="1353"/>
      <c r="Y24" s="3689"/>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687"/>
      <c r="Q25" s="1350" t="str">
        <f>B25</f>
        <v>毗邻道路的类型与等级</v>
      </c>
      <c r="R25" s="703" t="s">
        <v>14</v>
      </c>
      <c r="S25" s="704">
        <f>F25</f>
        <v>100</v>
      </c>
      <c r="T25" s="703" t="s">
        <v>14</v>
      </c>
      <c r="U25" s="704">
        <f>H25</f>
        <v>100</v>
      </c>
      <c r="V25" s="703" t="s">
        <v>14</v>
      </c>
      <c r="W25" s="704">
        <f>J25</f>
        <v>100</v>
      </c>
      <c r="X25" s="1353"/>
      <c r="Y25" s="3689"/>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687"/>
      <c r="Q26" s="1350"/>
      <c r="R26" s="703"/>
      <c r="S26" s="704"/>
      <c r="T26" s="703"/>
      <c r="U26" s="704"/>
      <c r="V26" s="703"/>
      <c r="W26" s="704"/>
      <c r="X26" s="1353"/>
      <c r="Y26" s="3689"/>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9"/>
      <c r="M27" s="2713"/>
      <c r="N27" s="2713"/>
      <c r="O27" s="2713"/>
      <c r="P27" s="3687"/>
      <c r="Q27" s="1350" t="str">
        <f t="shared" ref="Q27:Q47" si="11">B27</f>
        <v>楼层</v>
      </c>
      <c r="R27" s="703" t="s">
        <v>14</v>
      </c>
      <c r="S27" s="704">
        <f>F27</f>
        <v>100</v>
      </c>
      <c r="T27" s="703" t="s">
        <v>14</v>
      </c>
      <c r="U27" s="704">
        <f>H27</f>
        <v>100</v>
      </c>
      <c r="V27" s="703" t="s">
        <v>14</v>
      </c>
      <c r="W27" s="704">
        <f>J27</f>
        <v>100</v>
      </c>
      <c r="X27" s="1353"/>
      <c r="Y27" s="3689"/>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87"/>
      <c r="Q28" s="1341" t="str">
        <f t="shared" si="11"/>
        <v>朝向</v>
      </c>
      <c r="R28" s="699" t="s">
        <v>14</v>
      </c>
      <c r="S28" s="700">
        <f>F28</f>
        <v>100</v>
      </c>
      <c r="T28" s="699" t="s">
        <v>14</v>
      </c>
      <c r="U28" s="700">
        <f>H28</f>
        <v>100</v>
      </c>
      <c r="V28" s="699" t="s">
        <v>14</v>
      </c>
      <c r="W28" s="700">
        <f>J28</f>
        <v>100</v>
      </c>
      <c r="X28" s="701"/>
      <c r="Y28" s="368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87"/>
      <c r="Q29" s="1350">
        <f t="shared" si="11"/>
        <v>111</v>
      </c>
      <c r="R29" s="703" t="s">
        <v>14</v>
      </c>
      <c r="S29" s="704">
        <f t="shared" ref="S29:S47" si="12">F29</f>
        <v>100</v>
      </c>
      <c r="T29" s="703" t="s">
        <v>14</v>
      </c>
      <c r="U29" s="704">
        <f t="shared" ref="U29:U47" si="13">H29</f>
        <v>100</v>
      </c>
      <c r="V29" s="703" t="s">
        <v>14</v>
      </c>
      <c r="W29" s="704">
        <f t="shared" ref="W29:W47" si="14">J29</f>
        <v>100</v>
      </c>
      <c r="X29" s="1353"/>
      <c r="Y29" s="368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87"/>
      <c r="Q30" s="1350">
        <f t="shared" si="11"/>
        <v>111</v>
      </c>
      <c r="R30" s="703" t="s">
        <v>14</v>
      </c>
      <c r="S30" s="704">
        <f t="shared" si="12"/>
        <v>100</v>
      </c>
      <c r="T30" s="703" t="s">
        <v>14</v>
      </c>
      <c r="U30" s="704">
        <f t="shared" si="13"/>
        <v>100</v>
      </c>
      <c r="V30" s="703" t="s">
        <v>14</v>
      </c>
      <c r="W30" s="704">
        <f t="shared" si="14"/>
        <v>100</v>
      </c>
      <c r="X30" s="1353"/>
      <c r="Y30" s="368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87"/>
      <c r="Q31" s="1350">
        <f t="shared" si="11"/>
        <v>111</v>
      </c>
      <c r="R31" s="703" t="s">
        <v>14</v>
      </c>
      <c r="S31" s="704">
        <f t="shared" si="12"/>
        <v>100</v>
      </c>
      <c r="T31" s="703" t="s">
        <v>14</v>
      </c>
      <c r="U31" s="704">
        <f t="shared" si="13"/>
        <v>100</v>
      </c>
      <c r="V31" s="703" t="s">
        <v>14</v>
      </c>
      <c r="W31" s="704">
        <f t="shared" si="14"/>
        <v>100</v>
      </c>
      <c r="X31" s="1353"/>
      <c r="Y31" s="3689"/>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87"/>
      <c r="Q32" s="1350">
        <f t="shared" si="11"/>
        <v>111</v>
      </c>
      <c r="R32" s="703" t="s">
        <v>14</v>
      </c>
      <c r="S32" s="704">
        <f t="shared" si="12"/>
        <v>100</v>
      </c>
      <c r="T32" s="703" t="s">
        <v>14</v>
      </c>
      <c r="U32" s="704">
        <f t="shared" si="13"/>
        <v>100</v>
      </c>
      <c r="V32" s="703" t="s">
        <v>14</v>
      </c>
      <c r="W32" s="704">
        <f t="shared" si="14"/>
        <v>100</v>
      </c>
      <c r="X32" s="1353"/>
      <c r="Y32" s="368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690" t="s">
        <v>1696</v>
      </c>
      <c r="Q33" s="1350" t="str">
        <f t="shared" si="11"/>
        <v>建筑类型</v>
      </c>
      <c r="R33" s="703" t="s">
        <v>14</v>
      </c>
      <c r="S33" s="704">
        <f t="shared" si="12"/>
        <v>100</v>
      </c>
      <c r="T33" s="703" t="s">
        <v>14</v>
      </c>
      <c r="U33" s="704">
        <f t="shared" si="13"/>
        <v>100</v>
      </c>
      <c r="V33" s="703" t="s">
        <v>14</v>
      </c>
      <c r="W33" s="704">
        <f t="shared" si="14"/>
        <v>100</v>
      </c>
      <c r="X33" s="1353"/>
      <c r="Y33" s="369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1"/>
      <c r="Q34" s="705" t="str">
        <f t="shared" si="11"/>
        <v>项目建筑规模</v>
      </c>
      <c r="R34" s="706" t="s">
        <v>14</v>
      </c>
      <c r="S34" s="707" t="e">
        <f t="shared" si="12"/>
        <v>#N/A</v>
      </c>
      <c r="T34" s="706" t="s">
        <v>14</v>
      </c>
      <c r="U34" s="707" t="e">
        <f t="shared" si="13"/>
        <v>#N/A</v>
      </c>
      <c r="V34" s="706" t="s">
        <v>14</v>
      </c>
      <c r="W34" s="707" t="e">
        <f t="shared" si="14"/>
        <v>#N/A</v>
      </c>
      <c r="X34" s="708"/>
      <c r="Y34" s="369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1"/>
      <c r="Q35" s="1350" t="str">
        <f t="shared" si="11"/>
        <v>建筑结构</v>
      </c>
      <c r="R35" s="703" t="s">
        <v>14</v>
      </c>
      <c r="S35" s="704">
        <f t="shared" si="12"/>
        <v>100</v>
      </c>
      <c r="T35" s="703" t="s">
        <v>14</v>
      </c>
      <c r="U35" s="704">
        <f t="shared" si="13"/>
        <v>100</v>
      </c>
      <c r="V35" s="703" t="s">
        <v>14</v>
      </c>
      <c r="W35" s="704">
        <f t="shared" si="14"/>
        <v>100</v>
      </c>
      <c r="X35" s="1353"/>
      <c r="Y35" s="369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1"/>
      <c r="Q36" s="1350" t="str">
        <f t="shared" si="11"/>
        <v>公共部分装修</v>
      </c>
      <c r="R36" s="703" t="s">
        <v>14</v>
      </c>
      <c r="S36" s="704">
        <f t="shared" si="12"/>
        <v>100</v>
      </c>
      <c r="T36" s="703" t="s">
        <v>14</v>
      </c>
      <c r="U36" s="704">
        <f t="shared" si="13"/>
        <v>100</v>
      </c>
      <c r="V36" s="703" t="s">
        <v>14</v>
      </c>
      <c r="W36" s="704">
        <f t="shared" si="14"/>
        <v>100</v>
      </c>
      <c r="X36" s="1353"/>
      <c r="Y36" s="369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1"/>
      <c r="Q37" s="1350" t="str">
        <f t="shared" si="11"/>
        <v>成新度</v>
      </c>
      <c r="R37" s="703" t="s">
        <v>14</v>
      </c>
      <c r="S37" s="704" t="e">
        <f t="shared" si="12"/>
        <v>#N/A</v>
      </c>
      <c r="T37" s="703" t="s">
        <v>14</v>
      </c>
      <c r="U37" s="704" t="e">
        <f t="shared" si="13"/>
        <v>#N/A</v>
      </c>
      <c r="V37" s="703" t="s">
        <v>14</v>
      </c>
      <c r="W37" s="704" t="e">
        <f t="shared" si="14"/>
        <v>#N/A</v>
      </c>
      <c r="X37" s="1353"/>
      <c r="Y37" s="369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1"/>
      <c r="Q38" s="1341" t="str">
        <f t="shared" si="11"/>
        <v>写字楼等级</v>
      </c>
      <c r="R38" s="699" t="s">
        <v>14</v>
      </c>
      <c r="S38" s="700">
        <f t="shared" si="12"/>
        <v>100</v>
      </c>
      <c r="T38" s="699" t="s">
        <v>14</v>
      </c>
      <c r="U38" s="700">
        <f t="shared" si="13"/>
        <v>100</v>
      </c>
      <c r="V38" s="699" t="s">
        <v>14</v>
      </c>
      <c r="W38" s="700">
        <f t="shared" si="14"/>
        <v>100</v>
      </c>
      <c r="X38" s="701"/>
      <c r="Y38" s="369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1" t="s">
        <v>1696</v>
      </c>
      <c r="Q39" s="1350" t="str">
        <f t="shared" si="11"/>
        <v>物业管理</v>
      </c>
      <c r="R39" s="703" t="s">
        <v>14</v>
      </c>
      <c r="S39" s="704">
        <f t="shared" si="12"/>
        <v>100</v>
      </c>
      <c r="T39" s="703" t="s">
        <v>14</v>
      </c>
      <c r="U39" s="704">
        <f t="shared" si="13"/>
        <v>100</v>
      </c>
      <c r="V39" s="703" t="s">
        <v>14</v>
      </c>
      <c r="W39" s="704">
        <f t="shared" si="14"/>
        <v>100</v>
      </c>
      <c r="X39" s="1353"/>
      <c r="Y39" s="369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1"/>
      <c r="Q40" s="1350" t="str">
        <f t="shared" si="11"/>
        <v>市政基础设施</v>
      </c>
      <c r="R40" s="703" t="s">
        <v>14</v>
      </c>
      <c r="S40" s="704">
        <f t="shared" si="12"/>
        <v>100</v>
      </c>
      <c r="T40" s="703" t="s">
        <v>14</v>
      </c>
      <c r="U40" s="704">
        <f t="shared" si="13"/>
        <v>100</v>
      </c>
      <c r="V40" s="703" t="s">
        <v>14</v>
      </c>
      <c r="W40" s="704">
        <f t="shared" si="14"/>
        <v>100</v>
      </c>
      <c r="X40" s="1353"/>
      <c r="Y40" s="369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1"/>
      <c r="Q41" s="1350" t="str">
        <f t="shared" si="11"/>
        <v>层高</v>
      </c>
      <c r="R41" s="703" t="s">
        <v>14</v>
      </c>
      <c r="S41" s="704">
        <f t="shared" si="12"/>
        <v>100</v>
      </c>
      <c r="T41" s="703" t="s">
        <v>14</v>
      </c>
      <c r="U41" s="704">
        <f t="shared" si="13"/>
        <v>100</v>
      </c>
      <c r="V41" s="703" t="s">
        <v>14</v>
      </c>
      <c r="W41" s="704">
        <f t="shared" si="14"/>
        <v>100</v>
      </c>
      <c r="X41" s="1353"/>
      <c r="Y41" s="369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1"/>
      <c r="Q42" s="705" t="str">
        <f t="shared" si="11"/>
        <v>单套建筑面积</v>
      </c>
      <c r="R42" s="706" t="s">
        <v>14</v>
      </c>
      <c r="S42" s="707">
        <f t="shared" si="12"/>
        <v>100</v>
      </c>
      <c r="T42" s="706" t="s">
        <v>14</v>
      </c>
      <c r="U42" s="707">
        <f t="shared" si="13"/>
        <v>100</v>
      </c>
      <c r="V42" s="706" t="s">
        <v>14</v>
      </c>
      <c r="W42" s="707">
        <f t="shared" si="14"/>
        <v>100</v>
      </c>
      <c r="X42" s="708"/>
      <c r="Y42" s="369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1"/>
      <c r="Q43" s="1350" t="str">
        <f t="shared" si="11"/>
        <v>内部装修</v>
      </c>
      <c r="R43" s="703" t="s">
        <v>14</v>
      </c>
      <c r="S43" s="704">
        <f t="shared" si="12"/>
        <v>100</v>
      </c>
      <c r="T43" s="703" t="s">
        <v>14</v>
      </c>
      <c r="U43" s="704">
        <f t="shared" si="13"/>
        <v>100</v>
      </c>
      <c r="V43" s="703" t="s">
        <v>14</v>
      </c>
      <c r="W43" s="704">
        <f t="shared" si="14"/>
        <v>100</v>
      </c>
      <c r="X43" s="1353"/>
      <c r="Y43" s="369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691"/>
      <c r="Q44" s="1350" t="str">
        <f t="shared" si="11"/>
        <v>内部装修维护情况</v>
      </c>
      <c r="R44" s="703" t="s">
        <v>14</v>
      </c>
      <c r="S44" s="704">
        <f t="shared" si="12"/>
        <v>100</v>
      </c>
      <c r="T44" s="703" t="s">
        <v>14</v>
      </c>
      <c r="U44" s="704">
        <f t="shared" si="13"/>
        <v>100</v>
      </c>
      <c r="V44" s="703" t="s">
        <v>14</v>
      </c>
      <c r="W44" s="704">
        <f t="shared" si="14"/>
        <v>100</v>
      </c>
      <c r="X44" s="1353"/>
      <c r="Y44" s="369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1"/>
      <c r="Q45" s="1341">
        <f t="shared" si="11"/>
        <v>111</v>
      </c>
      <c r="R45" s="699" t="s">
        <v>14</v>
      </c>
      <c r="S45" s="700">
        <f t="shared" si="12"/>
        <v>100</v>
      </c>
      <c r="T45" s="699" t="s">
        <v>14</v>
      </c>
      <c r="U45" s="700">
        <f t="shared" si="13"/>
        <v>100</v>
      </c>
      <c r="V45" s="699" t="s">
        <v>14</v>
      </c>
      <c r="W45" s="700">
        <f t="shared" si="14"/>
        <v>100</v>
      </c>
      <c r="X45" s="701"/>
      <c r="Y45" s="369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1"/>
      <c r="Q46" s="1350">
        <f t="shared" si="11"/>
        <v>111</v>
      </c>
      <c r="R46" s="703" t="s">
        <v>14</v>
      </c>
      <c r="S46" s="704">
        <f t="shared" si="12"/>
        <v>100</v>
      </c>
      <c r="T46" s="703" t="s">
        <v>14</v>
      </c>
      <c r="U46" s="704">
        <f t="shared" si="13"/>
        <v>100</v>
      </c>
      <c r="V46" s="703" t="s">
        <v>14</v>
      </c>
      <c r="W46" s="704">
        <f t="shared" si="14"/>
        <v>100</v>
      </c>
      <c r="X46" s="1353"/>
      <c r="Y46" s="369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2"/>
      <c r="Q47" s="1350">
        <f t="shared" si="11"/>
        <v>111</v>
      </c>
      <c r="R47" s="703" t="s">
        <v>14</v>
      </c>
      <c r="S47" s="704">
        <f t="shared" si="12"/>
        <v>100</v>
      </c>
      <c r="T47" s="703" t="s">
        <v>14</v>
      </c>
      <c r="U47" s="704">
        <f t="shared" si="13"/>
        <v>100</v>
      </c>
      <c r="V47" s="703" t="s">
        <v>14</v>
      </c>
      <c r="W47" s="704">
        <f t="shared" si="14"/>
        <v>100</v>
      </c>
      <c r="X47" s="1353"/>
      <c r="Y47" s="369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1"/>
      <c r="M48" s="2713"/>
      <c r="N48" s="2713"/>
      <c r="O48" s="2713"/>
      <c r="P48" s="3672" t="str">
        <f>A48</f>
        <v>成交单价（元/平方米）</v>
      </c>
      <c r="Q48" s="3695"/>
      <c r="R48" s="3696">
        <f>E48</f>
        <v>0</v>
      </c>
      <c r="S48" s="3696"/>
      <c r="T48" s="3696">
        <f>G48</f>
        <v>0</v>
      </c>
      <c r="U48" s="3696"/>
      <c r="V48" s="3696">
        <f>I48</f>
        <v>0</v>
      </c>
      <c r="W48" s="3696"/>
      <c r="X48" s="397"/>
      <c r="Y48" s="710"/>
      <c r="Z48" s="397"/>
      <c r="AA48" s="397"/>
      <c r="AB48" s="397"/>
      <c r="AC48" s="577"/>
    </row>
    <row r="49" spans="1:29" ht="15.75" thickBot="1">
      <c r="A49" s="437" t="s">
        <v>1793</v>
      </c>
      <c r="B49" s="438"/>
      <c r="C49" s="1158" t="e">
        <f>R50</f>
        <v>#DIV/0!</v>
      </c>
      <c r="D49" s="2315" t="s">
        <v>2135</v>
      </c>
      <c r="E49" s="1159" t="e">
        <f>R49</f>
        <v>#DIV/0!</v>
      </c>
      <c r="F49" s="2316"/>
      <c r="G49" s="1158" t="e">
        <f>T49</f>
        <v>#DIV/0!</v>
      </c>
      <c r="H49" s="2316"/>
      <c r="I49" s="1159" t="e">
        <f>V49</f>
        <v>#DIV/0!</v>
      </c>
      <c r="J49" s="2316"/>
      <c r="K49" s="2318">
        <f>F49+H49+J49</f>
        <v>0</v>
      </c>
      <c r="L49" s="2721"/>
      <c r="M49" s="2713"/>
      <c r="N49" s="2713"/>
      <c r="O49" s="2713"/>
      <c r="P49" s="3672"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3"/>
      <c r="L50" s="2721"/>
      <c r="M50" s="2713"/>
      <c r="N50" s="2713"/>
      <c r="O50" s="2713"/>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2023-6</v>
      </c>
      <c r="D59" s="1183">
        <f>EDATE(C59,-1)</f>
        <v>45047</v>
      </c>
      <c r="E59" s="1183">
        <f>EDATE(D59,-1)</f>
        <v>45017</v>
      </c>
      <c r="F59" s="1183">
        <f t="shared" ref="F59:O59" si="16">EDATE(E59,-1)</f>
        <v>44986</v>
      </c>
      <c r="G59" s="1183">
        <f t="shared" si="16"/>
        <v>44958</v>
      </c>
      <c r="H59" s="1183">
        <f t="shared" si="16"/>
        <v>44927</v>
      </c>
      <c r="I59" s="1183">
        <f t="shared" si="16"/>
        <v>44896</v>
      </c>
      <c r="J59" s="1183">
        <f t="shared" si="16"/>
        <v>44866</v>
      </c>
      <c r="K59" s="1183">
        <f t="shared" si="16"/>
        <v>44835</v>
      </c>
      <c r="L59" s="1183">
        <f t="shared" si="16"/>
        <v>44805</v>
      </c>
      <c r="M59" s="1183">
        <f t="shared" si="16"/>
        <v>44774</v>
      </c>
      <c r="N59" s="1183">
        <f t="shared" si="16"/>
        <v>44743</v>
      </c>
      <c r="O59" s="1183">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受贵公司委托，我公司对北京市房山区长阳镇祥云街5号院4号楼2层201配套商业用房房地产抵押价值进行了预评估。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估价对象为北京市房山区长阳镇祥云街5号院4号楼2层201配套商业用房房地产，为所有。根据《国有土地使用证》[]，估价对象（分摊）出让国有建设用地使用权面积为0平方米，建筑面积为554.57平方米。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长阳镇祥云街5号院4号楼2层201配套商业用房房地产,属开发建设的居住项目，该项目尚在开发建设中。根据《国有土地使用证》[]，估价对象（分摊）出让国有建设用地使用权面积为0平方米，规划建筑面积为554.57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山区长阳镇祥云街5号院4号楼2层201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2023年6月8日（评估专业人员实地查勘之日）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554.57000000000005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911"/>
      <c r="M4" s="912"/>
      <c r="N4" s="912"/>
      <c r="O4" s="912"/>
      <c r="P4" s="3677" t="s">
        <v>1775</v>
      </c>
      <c r="Q4" s="3678"/>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746" t="s">
        <v>1673</v>
      </c>
      <c r="D5" s="3667"/>
      <c r="E5" s="3745" t="s">
        <v>1674</v>
      </c>
      <c r="F5" s="3665"/>
      <c r="G5" s="3746" t="s">
        <v>1675</v>
      </c>
      <c r="H5" s="3667"/>
      <c r="I5" s="3746" t="s">
        <v>1676</v>
      </c>
      <c r="J5" s="3667"/>
      <c r="K5" s="559"/>
      <c r="L5" s="911"/>
      <c r="M5" s="912"/>
      <c r="N5" s="912"/>
      <c r="O5" s="912"/>
      <c r="P5" s="3679"/>
      <c r="Q5" s="3680"/>
      <c r="R5" s="3662"/>
      <c r="S5" s="3663"/>
      <c r="T5" s="3662"/>
      <c r="U5" s="3663"/>
      <c r="V5" s="3657"/>
      <c r="W5" s="3657"/>
      <c r="X5" s="1353"/>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911"/>
      <c r="M6" s="912"/>
      <c r="N6" s="912"/>
      <c r="O6" s="912"/>
      <c r="P6" s="3681"/>
      <c r="Q6" s="3682"/>
      <c r="R6" s="3662"/>
      <c r="S6" s="3663"/>
      <c r="T6" s="3683"/>
      <c r="U6" s="3684"/>
      <c r="V6" s="3657"/>
      <c r="W6" s="3657"/>
      <c r="X6" s="1353"/>
      <c r="Y6" s="3683"/>
      <c r="Z6" s="3684"/>
      <c r="AA6" s="3656"/>
      <c r="AB6" s="3656"/>
      <c r="AC6" s="3656"/>
    </row>
    <row r="7" spans="1:29" s="108" customFormat="1" ht="15.75" thickBot="1">
      <c r="A7" s="362" t="s">
        <v>1679</v>
      </c>
      <c r="B7" s="363"/>
      <c r="C7" s="364">
        <f>'数据-取费表'!B2</f>
        <v>45085</v>
      </c>
      <c r="D7" s="365">
        <v>100</v>
      </c>
      <c r="E7" s="366"/>
      <c r="F7" s="367">
        <f>SUMIF(52:52,YEAR(E7)&amp;"-"&amp;MONTH(E7),53:53)</f>
        <v>0</v>
      </c>
      <c r="G7" s="366"/>
      <c r="H7" s="365">
        <f>SUMIF(52:52,YEAR(G7)&amp;"-"&amp;MONTH(G7),53:53)</f>
        <v>0</v>
      </c>
      <c r="I7" s="366"/>
      <c r="J7" s="365">
        <f>SUMIF(52:52,YEAR(I7)&amp;"-"&amp;MONTH(I7),53:53)</f>
        <v>0</v>
      </c>
      <c r="K7" s="560"/>
      <c r="L7" s="913"/>
      <c r="M7" s="914"/>
      <c r="N7" s="914"/>
      <c r="O7" s="914"/>
      <c r="P7" s="3658" t="s">
        <v>1680</v>
      </c>
      <c r="Q7" s="3685"/>
      <c r="R7" s="699" t="s">
        <v>14</v>
      </c>
      <c r="S7" s="700">
        <f t="shared" ref="S7:S15" si="0">F7</f>
        <v>0</v>
      </c>
      <c r="T7" s="699" t="s">
        <v>14</v>
      </c>
      <c r="U7" s="700">
        <f t="shared" ref="U7:U15" si="1">H7</f>
        <v>0</v>
      </c>
      <c r="V7" s="699" t="s">
        <v>14</v>
      </c>
      <c r="W7" s="700">
        <f t="shared" ref="W7:W15" si="2">J7</f>
        <v>0</v>
      </c>
      <c r="X7" s="701"/>
      <c r="Y7" s="3658" t="s">
        <v>1680</v>
      </c>
      <c r="Z7" s="3659"/>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8" t="s">
        <v>1683</v>
      </c>
      <c r="Q8" s="3659"/>
      <c r="R8" s="699" t="s">
        <v>14</v>
      </c>
      <c r="S8" s="700">
        <f t="shared" si="0"/>
        <v>100</v>
      </c>
      <c r="T8" s="699" t="s">
        <v>14</v>
      </c>
      <c r="U8" s="700">
        <f t="shared" si="1"/>
        <v>100</v>
      </c>
      <c r="V8" s="699" t="s">
        <v>14</v>
      </c>
      <c r="W8" s="700">
        <f t="shared" si="2"/>
        <v>100</v>
      </c>
      <c r="X8" s="701"/>
      <c r="Y8" s="3658" t="s">
        <v>1683</v>
      </c>
      <c r="Z8" s="3659"/>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5" t="s">
        <v>1686</v>
      </c>
      <c r="Q9" s="1341" t="str">
        <f t="shared" ref="Q9:Q15" si="6">B9</f>
        <v>用途</v>
      </c>
      <c r="R9" s="699" t="s">
        <v>14</v>
      </c>
      <c r="S9" s="700">
        <f t="shared" si="0"/>
        <v>100</v>
      </c>
      <c r="T9" s="699" t="s">
        <v>14</v>
      </c>
      <c r="U9" s="700">
        <f t="shared" si="1"/>
        <v>100</v>
      </c>
      <c r="V9" s="699" t="s">
        <v>14</v>
      </c>
      <c r="W9" s="700">
        <f t="shared" si="2"/>
        <v>100</v>
      </c>
      <c r="X9" s="701"/>
      <c r="Y9" s="3627"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5"/>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5"/>
      <c r="Q11" s="1341" t="str">
        <f t="shared" si="6"/>
        <v>容积率</v>
      </c>
      <c r="R11" s="699" t="s">
        <v>14</v>
      </c>
      <c r="S11" s="700">
        <f t="shared" si="0"/>
        <v>100</v>
      </c>
      <c r="T11" s="699" t="s">
        <v>14</v>
      </c>
      <c r="U11" s="700">
        <f t="shared" si="1"/>
        <v>100</v>
      </c>
      <c r="V11" s="699" t="s">
        <v>14</v>
      </c>
      <c r="W11" s="700">
        <f t="shared" si="2"/>
        <v>100</v>
      </c>
      <c r="X11" s="701"/>
      <c r="Y11" s="362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5"/>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8" t="s">
        <v>1691</v>
      </c>
      <c r="Q15" s="1350" t="str">
        <f t="shared" si="6"/>
        <v>产业集聚程度</v>
      </c>
      <c r="R15" s="703" t="s">
        <v>14</v>
      </c>
      <c r="S15" s="704">
        <f t="shared" si="0"/>
        <v>100</v>
      </c>
      <c r="T15" s="703" t="s">
        <v>14</v>
      </c>
      <c r="U15" s="704">
        <f t="shared" si="1"/>
        <v>100</v>
      </c>
      <c r="V15" s="703" t="s">
        <v>14</v>
      </c>
      <c r="W15" s="704">
        <f t="shared" si="2"/>
        <v>100</v>
      </c>
      <c r="X15" s="1353"/>
      <c r="Y15" s="368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89"/>
      <c r="Q16" s="1350"/>
      <c r="R16" s="703"/>
      <c r="S16" s="704"/>
      <c r="T16" s="703"/>
      <c r="U16" s="704"/>
      <c r="V16" s="703"/>
      <c r="W16" s="704"/>
      <c r="X16" s="1353"/>
      <c r="Y16" s="368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89"/>
      <c r="Q17" s="1350" t="str">
        <f>B17</f>
        <v>交通便捷度</v>
      </c>
      <c r="R17" s="703" t="s">
        <v>14</v>
      </c>
      <c r="S17" s="704">
        <f>F17</f>
        <v>100</v>
      </c>
      <c r="T17" s="703" t="s">
        <v>14</v>
      </c>
      <c r="U17" s="704">
        <f>H17</f>
        <v>100</v>
      </c>
      <c r="V17" s="703" t="s">
        <v>14</v>
      </c>
      <c r="W17" s="704">
        <f>J17</f>
        <v>100</v>
      </c>
      <c r="X17" s="1353"/>
      <c r="Y17" s="368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89"/>
      <c r="Q18" s="1350"/>
      <c r="R18" s="703"/>
      <c r="S18" s="704"/>
      <c r="T18" s="703"/>
      <c r="U18" s="704"/>
      <c r="V18" s="703"/>
      <c r="W18" s="704"/>
      <c r="X18" s="1353"/>
      <c r="Y18" s="368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89"/>
      <c r="Q19" s="1350" t="str">
        <f>B19</f>
        <v>公共配套设施</v>
      </c>
      <c r="R19" s="703" t="s">
        <v>14</v>
      </c>
      <c r="S19" s="704">
        <f>F19</f>
        <v>100</v>
      </c>
      <c r="T19" s="703" t="s">
        <v>14</v>
      </c>
      <c r="U19" s="704">
        <f>H19</f>
        <v>100</v>
      </c>
      <c r="V19" s="703" t="s">
        <v>14</v>
      </c>
      <c r="W19" s="704">
        <f>J19</f>
        <v>100</v>
      </c>
      <c r="X19" s="1353"/>
      <c r="Y19" s="368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89"/>
      <c r="Q20" s="1350"/>
      <c r="R20" s="703"/>
      <c r="S20" s="704"/>
      <c r="T20" s="703"/>
      <c r="U20" s="704"/>
      <c r="V20" s="703"/>
      <c r="W20" s="704"/>
      <c r="X20" s="1353"/>
      <c r="Y20" s="368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89"/>
      <c r="Q21" s="1350" t="str">
        <f>B21</f>
        <v>基础设施水平</v>
      </c>
      <c r="R21" s="703" t="s">
        <v>14</v>
      </c>
      <c r="S21" s="704">
        <f>F21</f>
        <v>100</v>
      </c>
      <c r="T21" s="703" t="s">
        <v>14</v>
      </c>
      <c r="U21" s="704">
        <f>H21</f>
        <v>100</v>
      </c>
      <c r="V21" s="703" t="s">
        <v>14</v>
      </c>
      <c r="W21" s="704">
        <f>J21</f>
        <v>100</v>
      </c>
      <c r="X21" s="1353"/>
      <c r="Y21" s="368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89"/>
      <c r="Q22" s="1350"/>
      <c r="R22" s="703"/>
      <c r="S22" s="704"/>
      <c r="T22" s="703"/>
      <c r="U22" s="704"/>
      <c r="V22" s="703"/>
      <c r="W22" s="704"/>
      <c r="X22" s="1353"/>
      <c r="Y22" s="368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89"/>
      <c r="Q23" s="1350" t="str">
        <f>B23</f>
        <v>环境质量</v>
      </c>
      <c r="R23" s="703" t="s">
        <v>14</v>
      </c>
      <c r="S23" s="704">
        <f>F23</f>
        <v>100</v>
      </c>
      <c r="T23" s="703" t="s">
        <v>14</v>
      </c>
      <c r="U23" s="704">
        <f>H23</f>
        <v>100</v>
      </c>
      <c r="V23" s="703" t="s">
        <v>14</v>
      </c>
      <c r="W23" s="704">
        <f>J23</f>
        <v>100</v>
      </c>
      <c r="X23" s="1353"/>
      <c r="Y23" s="368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89"/>
      <c r="Q24" s="1350"/>
      <c r="R24" s="703"/>
      <c r="S24" s="704"/>
      <c r="T24" s="703"/>
      <c r="U24" s="704"/>
      <c r="V24" s="703"/>
      <c r="W24" s="704"/>
      <c r="X24" s="1353"/>
      <c r="Y24" s="368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89"/>
      <c r="Q25" s="1350">
        <f>B25</f>
        <v>111</v>
      </c>
      <c r="R25" s="703" t="s">
        <v>14</v>
      </c>
      <c r="S25" s="704">
        <f>F25</f>
        <v>100</v>
      </c>
      <c r="T25" s="703" t="s">
        <v>14</v>
      </c>
      <c r="U25" s="704">
        <f>H25</f>
        <v>100</v>
      </c>
      <c r="V25" s="703" t="s">
        <v>14</v>
      </c>
      <c r="W25" s="704">
        <f>J25</f>
        <v>100</v>
      </c>
      <c r="X25" s="1353"/>
      <c r="Y25" s="368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89"/>
      <c r="Q26" s="1350">
        <f t="shared" ref="Q26:Q40" si="11">B26</f>
        <v>111</v>
      </c>
      <c r="R26" s="703" t="s">
        <v>14</v>
      </c>
      <c r="S26" s="704">
        <f>F26</f>
        <v>100</v>
      </c>
      <c r="T26" s="703" t="s">
        <v>14</v>
      </c>
      <c r="U26" s="704">
        <f>H26</f>
        <v>100</v>
      </c>
      <c r="V26" s="703" t="s">
        <v>14</v>
      </c>
      <c r="W26" s="704">
        <f>J26</f>
        <v>100</v>
      </c>
      <c r="X26" s="1353"/>
      <c r="Y26" s="368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89"/>
      <c r="Q27" s="1341">
        <f t="shared" si="11"/>
        <v>111</v>
      </c>
      <c r="R27" s="699" t="s">
        <v>14</v>
      </c>
      <c r="S27" s="700">
        <f>F27</f>
        <v>100</v>
      </c>
      <c r="T27" s="699" t="s">
        <v>14</v>
      </c>
      <c r="U27" s="700">
        <f>H27</f>
        <v>100</v>
      </c>
      <c r="V27" s="699" t="s">
        <v>14</v>
      </c>
      <c r="W27" s="700">
        <f>J27</f>
        <v>100</v>
      </c>
      <c r="X27" s="701"/>
      <c r="Y27" s="368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89"/>
      <c r="Q28" s="1350">
        <f t="shared" si="11"/>
        <v>111</v>
      </c>
      <c r="R28" s="703" t="s">
        <v>14</v>
      </c>
      <c r="S28" s="704">
        <f t="shared" ref="S28:S40" si="12">F28</f>
        <v>100</v>
      </c>
      <c r="T28" s="703" t="s">
        <v>14</v>
      </c>
      <c r="U28" s="704">
        <f t="shared" ref="U28:U40" si="13">H28</f>
        <v>100</v>
      </c>
      <c r="V28" s="703" t="s">
        <v>14</v>
      </c>
      <c r="W28" s="704">
        <f t="shared" ref="W28:W40" si="14">J28</f>
        <v>100</v>
      </c>
      <c r="X28" s="1353"/>
      <c r="Y28" s="368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2" t="s">
        <v>1696</v>
      </c>
      <c r="Q29" s="1350" t="str">
        <f t="shared" si="11"/>
        <v>建筑类型</v>
      </c>
      <c r="R29" s="703" t="s">
        <v>14</v>
      </c>
      <c r="S29" s="704">
        <f t="shared" si="12"/>
        <v>100</v>
      </c>
      <c r="T29" s="703" t="s">
        <v>14</v>
      </c>
      <c r="U29" s="704">
        <f t="shared" si="13"/>
        <v>100</v>
      </c>
      <c r="V29" s="703" t="s">
        <v>14</v>
      </c>
      <c r="W29" s="704">
        <f t="shared" si="14"/>
        <v>100</v>
      </c>
      <c r="X29" s="1353"/>
      <c r="Y29" s="369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3"/>
      <c r="Q30" s="705" t="str">
        <f t="shared" si="11"/>
        <v>项目建筑规模</v>
      </c>
      <c r="R30" s="706" t="s">
        <v>14</v>
      </c>
      <c r="S30" s="707" t="e">
        <f t="shared" si="12"/>
        <v>#N/A</v>
      </c>
      <c r="T30" s="706" t="s">
        <v>14</v>
      </c>
      <c r="U30" s="707" t="e">
        <f t="shared" si="13"/>
        <v>#N/A</v>
      </c>
      <c r="V30" s="706" t="s">
        <v>14</v>
      </c>
      <c r="W30" s="707" t="e">
        <f t="shared" si="14"/>
        <v>#N/A</v>
      </c>
      <c r="X30" s="708"/>
      <c r="Y30" s="369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3"/>
      <c r="Q31" s="1350" t="str">
        <f t="shared" si="11"/>
        <v>建筑结构</v>
      </c>
      <c r="R31" s="703" t="s">
        <v>14</v>
      </c>
      <c r="S31" s="704">
        <f t="shared" si="12"/>
        <v>100</v>
      </c>
      <c r="T31" s="703" t="s">
        <v>14</v>
      </c>
      <c r="U31" s="704">
        <f t="shared" si="13"/>
        <v>100</v>
      </c>
      <c r="V31" s="703" t="s">
        <v>14</v>
      </c>
      <c r="W31" s="704">
        <f t="shared" si="14"/>
        <v>100</v>
      </c>
      <c r="X31" s="1353"/>
      <c r="Y31" s="369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3"/>
      <c r="Q32" s="1350" t="str">
        <f t="shared" si="11"/>
        <v>公共部分装修</v>
      </c>
      <c r="R32" s="703" t="s">
        <v>14</v>
      </c>
      <c r="S32" s="704">
        <f t="shared" si="12"/>
        <v>100</v>
      </c>
      <c r="T32" s="703" t="s">
        <v>14</v>
      </c>
      <c r="U32" s="704">
        <f t="shared" si="13"/>
        <v>100</v>
      </c>
      <c r="V32" s="703" t="s">
        <v>14</v>
      </c>
      <c r="W32" s="704">
        <f t="shared" si="14"/>
        <v>100</v>
      </c>
      <c r="X32" s="1353"/>
      <c r="Y32" s="369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3"/>
      <c r="Q33" s="1350" t="str">
        <f t="shared" si="11"/>
        <v>成新度</v>
      </c>
      <c r="R33" s="703" t="s">
        <v>14</v>
      </c>
      <c r="S33" s="704" t="e">
        <f t="shared" si="12"/>
        <v>#N/A</v>
      </c>
      <c r="T33" s="703" t="s">
        <v>14</v>
      </c>
      <c r="U33" s="704" t="e">
        <f t="shared" si="13"/>
        <v>#N/A</v>
      </c>
      <c r="V33" s="703" t="s">
        <v>14</v>
      </c>
      <c r="W33" s="704" t="e">
        <f t="shared" si="14"/>
        <v>#N/A</v>
      </c>
      <c r="X33" s="1353"/>
      <c r="Y33" s="369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3"/>
      <c r="Q34" s="1341" t="str">
        <f t="shared" si="11"/>
        <v>物业管理</v>
      </c>
      <c r="R34" s="699" t="s">
        <v>14</v>
      </c>
      <c r="S34" s="700">
        <f t="shared" si="12"/>
        <v>100</v>
      </c>
      <c r="T34" s="699" t="s">
        <v>14</v>
      </c>
      <c r="U34" s="700">
        <f t="shared" si="13"/>
        <v>100</v>
      </c>
      <c r="V34" s="699" t="s">
        <v>14</v>
      </c>
      <c r="W34" s="700">
        <f t="shared" si="14"/>
        <v>100</v>
      </c>
      <c r="X34" s="701"/>
      <c r="Y34" s="369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3" t="s">
        <v>1696</v>
      </c>
      <c r="Q35" s="1350" t="str">
        <f t="shared" si="11"/>
        <v>市政基础设施</v>
      </c>
      <c r="R35" s="703" t="s">
        <v>14</v>
      </c>
      <c r="S35" s="704">
        <f t="shared" si="12"/>
        <v>100</v>
      </c>
      <c r="T35" s="703" t="s">
        <v>14</v>
      </c>
      <c r="U35" s="704">
        <f t="shared" si="13"/>
        <v>100</v>
      </c>
      <c r="V35" s="703" t="s">
        <v>14</v>
      </c>
      <c r="W35" s="704">
        <f t="shared" si="14"/>
        <v>100</v>
      </c>
      <c r="X35" s="1353"/>
      <c r="Y35" s="369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3"/>
      <c r="Q36" s="1350" t="str">
        <f t="shared" si="11"/>
        <v>内部装修</v>
      </c>
      <c r="R36" s="703" t="s">
        <v>14</v>
      </c>
      <c r="S36" s="704">
        <f t="shared" si="12"/>
        <v>100</v>
      </c>
      <c r="T36" s="703" t="s">
        <v>14</v>
      </c>
      <c r="U36" s="704">
        <f t="shared" si="13"/>
        <v>100</v>
      </c>
      <c r="V36" s="703" t="s">
        <v>14</v>
      </c>
      <c r="W36" s="704">
        <f t="shared" si="14"/>
        <v>100</v>
      </c>
      <c r="X36" s="1353"/>
      <c r="Y36" s="369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3"/>
      <c r="Q37" s="1350" t="str">
        <f t="shared" si="11"/>
        <v>内部装修状况</v>
      </c>
      <c r="R37" s="703" t="s">
        <v>14</v>
      </c>
      <c r="S37" s="704">
        <f t="shared" si="12"/>
        <v>100</v>
      </c>
      <c r="T37" s="703" t="s">
        <v>14</v>
      </c>
      <c r="U37" s="704">
        <f t="shared" si="13"/>
        <v>100</v>
      </c>
      <c r="V37" s="703" t="s">
        <v>14</v>
      </c>
      <c r="W37" s="704">
        <f t="shared" si="14"/>
        <v>100</v>
      </c>
      <c r="X37" s="1353"/>
      <c r="Y37" s="369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3"/>
      <c r="Q38" s="705">
        <f t="shared" si="11"/>
        <v>111</v>
      </c>
      <c r="R38" s="706" t="s">
        <v>14</v>
      </c>
      <c r="S38" s="707">
        <f t="shared" si="12"/>
        <v>100</v>
      </c>
      <c r="T38" s="706" t="s">
        <v>14</v>
      </c>
      <c r="U38" s="707">
        <f t="shared" si="13"/>
        <v>100</v>
      </c>
      <c r="V38" s="706" t="s">
        <v>14</v>
      </c>
      <c r="W38" s="707">
        <f t="shared" si="14"/>
        <v>100</v>
      </c>
      <c r="X38" s="708"/>
      <c r="Y38" s="369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3"/>
      <c r="Q39" s="1350">
        <f t="shared" si="11"/>
        <v>111</v>
      </c>
      <c r="R39" s="703" t="s">
        <v>14</v>
      </c>
      <c r="S39" s="704">
        <f t="shared" si="12"/>
        <v>100</v>
      </c>
      <c r="T39" s="703" t="s">
        <v>14</v>
      </c>
      <c r="U39" s="704">
        <f t="shared" si="13"/>
        <v>100</v>
      </c>
      <c r="V39" s="703" t="s">
        <v>14</v>
      </c>
      <c r="W39" s="704">
        <f t="shared" si="14"/>
        <v>100</v>
      </c>
      <c r="X39" s="1353"/>
      <c r="Y39" s="369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4"/>
      <c r="Q40" s="1350">
        <f t="shared" si="11"/>
        <v>111</v>
      </c>
      <c r="R40" s="703" t="s">
        <v>14</v>
      </c>
      <c r="S40" s="704">
        <f t="shared" si="12"/>
        <v>100</v>
      </c>
      <c r="T40" s="703" t="s">
        <v>14</v>
      </c>
      <c r="U40" s="704">
        <f t="shared" si="13"/>
        <v>100</v>
      </c>
      <c r="V40" s="703" t="s">
        <v>14</v>
      </c>
      <c r="W40" s="704">
        <f t="shared" si="14"/>
        <v>100</v>
      </c>
      <c r="X40" s="1353"/>
      <c r="Y40" s="369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5" t="str">
        <f>A41</f>
        <v>成交单价（元/平方米）</v>
      </c>
      <c r="Q41" s="3695"/>
      <c r="R41" s="3696">
        <f>E41</f>
        <v>0</v>
      </c>
      <c r="S41" s="3696"/>
      <c r="T41" s="3696">
        <f>G41</f>
        <v>0</v>
      </c>
      <c r="U41" s="3696"/>
      <c r="V41" s="3696">
        <f>I41</f>
        <v>0</v>
      </c>
      <c r="W41" s="3696"/>
      <c r="X41" s="688"/>
      <c r="Y41" s="710"/>
      <c r="Z41" s="688"/>
      <c r="AA41" s="688"/>
      <c r="AB41" s="688"/>
      <c r="AC41" s="688"/>
    </row>
    <row r="42" spans="1:29" ht="15.75" thickBot="1">
      <c r="A42" s="437" t="s">
        <v>1793</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2023-6</v>
      </c>
      <c r="D52" s="1183">
        <f>EDATE(C52,-1)</f>
        <v>45047</v>
      </c>
      <c r="E52" s="1183">
        <f t="shared" ref="E52:O52" si="16">EDATE(D52,-1)</f>
        <v>45017</v>
      </c>
      <c r="F52" s="1183">
        <f t="shared" si="16"/>
        <v>44986</v>
      </c>
      <c r="G52" s="1183">
        <f t="shared" si="16"/>
        <v>44958</v>
      </c>
      <c r="H52" s="1183">
        <f t="shared" si="16"/>
        <v>44927</v>
      </c>
      <c r="I52" s="1183">
        <f t="shared" si="16"/>
        <v>44896</v>
      </c>
      <c r="J52" s="1183">
        <f t="shared" si="16"/>
        <v>44866</v>
      </c>
      <c r="K52" s="1183">
        <f t="shared" si="16"/>
        <v>44835</v>
      </c>
      <c r="L52" s="1183">
        <f t="shared" si="16"/>
        <v>44805</v>
      </c>
      <c r="M52" s="1183">
        <f t="shared" si="16"/>
        <v>44774</v>
      </c>
      <c r="N52" s="1183">
        <f t="shared" si="16"/>
        <v>44743</v>
      </c>
      <c r="O52" s="1183">
        <f t="shared" si="16"/>
        <v>44713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2"/>
      <c r="M4" s="2713"/>
      <c r="N4" s="2713"/>
      <c r="O4" s="2713"/>
      <c r="P4" s="3677" t="s">
        <v>1775</v>
      </c>
      <c r="Q4" s="3678"/>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746" t="s">
        <v>1673</v>
      </c>
      <c r="D5" s="3667"/>
      <c r="E5" s="3745" t="s">
        <v>1674</v>
      </c>
      <c r="F5" s="3665"/>
      <c r="G5" s="3746" t="s">
        <v>1675</v>
      </c>
      <c r="H5" s="3667"/>
      <c r="I5" s="3746" t="s">
        <v>1676</v>
      </c>
      <c r="J5" s="3667"/>
      <c r="K5" s="559"/>
      <c r="L5" s="2712"/>
      <c r="M5" s="2713"/>
      <c r="N5" s="2713"/>
      <c r="O5" s="2713"/>
      <c r="P5" s="3679"/>
      <c r="Q5" s="3680"/>
      <c r="R5" s="3662"/>
      <c r="S5" s="3663"/>
      <c r="T5" s="3662"/>
      <c r="U5" s="3663"/>
      <c r="V5" s="3657"/>
      <c r="W5" s="3657"/>
      <c r="X5" s="1353"/>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2712"/>
      <c r="M6" s="2713"/>
      <c r="N6" s="2713"/>
      <c r="O6" s="2713"/>
      <c r="P6" s="3681"/>
      <c r="Q6" s="3682"/>
      <c r="R6" s="3662"/>
      <c r="S6" s="3663"/>
      <c r="T6" s="3683"/>
      <c r="U6" s="3684"/>
      <c r="V6" s="3657"/>
      <c r="W6" s="3657"/>
      <c r="X6" s="1353"/>
      <c r="Y6" s="3683"/>
      <c r="Z6" s="3684"/>
      <c r="AA6" s="3656"/>
      <c r="AB6" s="3656"/>
      <c r="AC6" s="3656"/>
    </row>
    <row r="7" spans="1:29" s="108" customFormat="1" ht="15.75" thickBot="1">
      <c r="A7" s="362" t="s">
        <v>1679</v>
      </c>
      <c r="B7" s="363"/>
      <c r="C7" s="364">
        <f>'数据-取费表'!B2</f>
        <v>45085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58" t="s">
        <v>1680</v>
      </c>
      <c r="Q7" s="3685"/>
      <c r="R7" s="699" t="s">
        <v>14</v>
      </c>
      <c r="S7" s="700">
        <f t="shared" ref="S7:S14" si="0">F7</f>
        <v>0</v>
      </c>
      <c r="T7" s="699" t="s">
        <v>14</v>
      </c>
      <c r="U7" s="700">
        <f t="shared" ref="U7:U14" si="1">H7</f>
        <v>0</v>
      </c>
      <c r="V7" s="699" t="s">
        <v>14</v>
      </c>
      <c r="W7" s="700">
        <f t="shared" ref="W7:W14" si="2">J7</f>
        <v>0</v>
      </c>
      <c r="X7" s="701"/>
      <c r="Y7" s="3658" t="s">
        <v>1680</v>
      </c>
      <c r="Z7" s="3659"/>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58" t="s">
        <v>1683</v>
      </c>
      <c r="Q8" s="3659"/>
      <c r="R8" s="699" t="s">
        <v>14</v>
      </c>
      <c r="S8" s="700">
        <f t="shared" si="0"/>
        <v>100</v>
      </c>
      <c r="T8" s="699" t="s">
        <v>14</v>
      </c>
      <c r="U8" s="700">
        <f t="shared" si="1"/>
        <v>100</v>
      </c>
      <c r="V8" s="699" t="s">
        <v>14</v>
      </c>
      <c r="W8" s="700">
        <f t="shared" si="2"/>
        <v>100</v>
      </c>
      <c r="X8" s="701"/>
      <c r="Y8" s="3658" t="s">
        <v>1683</v>
      </c>
      <c r="Z8" s="3659"/>
      <c r="AA8" s="702">
        <f t="shared" ref="AA8:AA36" si="3">D8/F8</f>
        <v>1</v>
      </c>
      <c r="AB8" s="702">
        <f t="shared" ref="AB8:AB36" si="4">D8/H8</f>
        <v>1</v>
      </c>
      <c r="AC8" s="702">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5" t="s">
        <v>1686</v>
      </c>
      <c r="Q9" s="1341" t="str">
        <f t="shared" ref="Q9:Q14" si="6">B9</f>
        <v>用途</v>
      </c>
      <c r="R9" s="699" t="s">
        <v>14</v>
      </c>
      <c r="S9" s="700">
        <f t="shared" si="0"/>
        <v>100</v>
      </c>
      <c r="T9" s="699" t="s">
        <v>14</v>
      </c>
      <c r="U9" s="700">
        <f t="shared" si="1"/>
        <v>100</v>
      </c>
      <c r="V9" s="699" t="s">
        <v>14</v>
      </c>
      <c r="W9" s="700">
        <f t="shared" si="2"/>
        <v>100</v>
      </c>
      <c r="X9" s="701"/>
      <c r="Y9" s="3627" t="s">
        <v>1687</v>
      </c>
      <c r="Z9" s="52" t="str">
        <f t="shared" ref="Z9:Z14" si="7">Q9</f>
        <v>用途</v>
      </c>
      <c r="AA9" s="702">
        <f t="shared" si="3"/>
        <v>1</v>
      </c>
      <c r="AB9" s="702">
        <f t="shared" si="4"/>
        <v>1</v>
      </c>
      <c r="AC9" s="702">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5"/>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5"/>
      <c r="Q11" s="1341">
        <f t="shared" si="6"/>
        <v>111</v>
      </c>
      <c r="R11" s="699" t="s">
        <v>14</v>
      </c>
      <c r="S11" s="700">
        <f t="shared" si="0"/>
        <v>100</v>
      </c>
      <c r="T11" s="699" t="s">
        <v>14</v>
      </c>
      <c r="U11" s="700">
        <f t="shared" si="1"/>
        <v>100</v>
      </c>
      <c r="V11" s="699" t="s">
        <v>14</v>
      </c>
      <c r="W11" s="700">
        <f t="shared" si="2"/>
        <v>100</v>
      </c>
      <c r="X11" s="701"/>
      <c r="Y11" s="3627"/>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8" t="s">
        <v>1691</v>
      </c>
      <c r="Q14" s="1350" t="str">
        <f t="shared" si="6"/>
        <v>交通便捷度</v>
      </c>
      <c r="R14" s="703" t="s">
        <v>14</v>
      </c>
      <c r="S14" s="704">
        <f t="shared" si="0"/>
        <v>100</v>
      </c>
      <c r="T14" s="703" t="s">
        <v>14</v>
      </c>
      <c r="U14" s="704">
        <f t="shared" si="1"/>
        <v>100</v>
      </c>
      <c r="V14" s="703" t="s">
        <v>14</v>
      </c>
      <c r="W14" s="704">
        <f t="shared" si="2"/>
        <v>100</v>
      </c>
      <c r="X14" s="1353"/>
      <c r="Y14" s="3688"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689"/>
      <c r="Q15" s="1350"/>
      <c r="R15" s="703"/>
      <c r="S15" s="704"/>
      <c r="T15" s="703"/>
      <c r="U15" s="704"/>
      <c r="V15" s="703"/>
      <c r="W15" s="704"/>
      <c r="X15" s="1353"/>
      <c r="Y15" s="3689"/>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9"/>
      <c r="Q16" s="1350" t="str">
        <f>B16</f>
        <v>公共配套设施</v>
      </c>
      <c r="R16" s="703" t="s">
        <v>14</v>
      </c>
      <c r="S16" s="704">
        <f>F16</f>
        <v>100</v>
      </c>
      <c r="T16" s="703" t="s">
        <v>14</v>
      </c>
      <c r="U16" s="704">
        <f>H16</f>
        <v>100</v>
      </c>
      <c r="V16" s="703" t="s">
        <v>14</v>
      </c>
      <c r="W16" s="704">
        <f>J16</f>
        <v>100</v>
      </c>
      <c r="X16" s="1353"/>
      <c r="Y16" s="3689"/>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689"/>
      <c r="Q17" s="1350"/>
      <c r="R17" s="703"/>
      <c r="S17" s="704"/>
      <c r="T17" s="703"/>
      <c r="U17" s="704"/>
      <c r="V17" s="703"/>
      <c r="W17" s="704"/>
      <c r="X17" s="1353"/>
      <c r="Y17" s="3689"/>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9"/>
      <c r="Q18" s="1350" t="str">
        <f>B18</f>
        <v>基础设施水平</v>
      </c>
      <c r="R18" s="703" t="s">
        <v>14</v>
      </c>
      <c r="S18" s="704">
        <f>F18</f>
        <v>100</v>
      </c>
      <c r="T18" s="703" t="s">
        <v>14</v>
      </c>
      <c r="U18" s="704">
        <f>H18</f>
        <v>100</v>
      </c>
      <c r="V18" s="703" t="s">
        <v>14</v>
      </c>
      <c r="W18" s="704">
        <f>J18</f>
        <v>100</v>
      </c>
      <c r="X18" s="1353"/>
      <c r="Y18" s="3689"/>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9"/>
      <c r="M19" s="2713"/>
      <c r="N19" s="2713"/>
      <c r="O19" s="2713"/>
      <c r="P19" s="3689"/>
      <c r="Q19" s="1350"/>
      <c r="R19" s="703"/>
      <c r="S19" s="704"/>
      <c r="T19" s="703"/>
      <c r="U19" s="704"/>
      <c r="V19" s="703"/>
      <c r="W19" s="704"/>
      <c r="X19" s="1353"/>
      <c r="Y19" s="3689"/>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9"/>
      <c r="Q20" s="1350" t="str">
        <f>B20</f>
        <v>自然及人文环境</v>
      </c>
      <c r="R20" s="703" t="s">
        <v>14</v>
      </c>
      <c r="S20" s="704">
        <f>F20</f>
        <v>100</v>
      </c>
      <c r="T20" s="703" t="s">
        <v>14</v>
      </c>
      <c r="U20" s="704">
        <f>H20</f>
        <v>100</v>
      </c>
      <c r="V20" s="703" t="s">
        <v>14</v>
      </c>
      <c r="W20" s="704">
        <f>J20</f>
        <v>100</v>
      </c>
      <c r="X20" s="1353"/>
      <c r="Y20" s="3689"/>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689"/>
      <c r="Q21" s="1350"/>
      <c r="R21" s="703"/>
      <c r="S21" s="704"/>
      <c r="T21" s="703"/>
      <c r="U21" s="704"/>
      <c r="V21" s="703"/>
      <c r="W21" s="704"/>
      <c r="X21" s="1353"/>
      <c r="Y21" s="3689"/>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9"/>
      <c r="Q22" s="1350" t="str">
        <f>B22</f>
        <v>楼层</v>
      </c>
      <c r="R22" s="703" t="s">
        <v>14</v>
      </c>
      <c r="S22" s="704">
        <f>F22</f>
        <v>100</v>
      </c>
      <c r="T22" s="703" t="s">
        <v>14</v>
      </c>
      <c r="U22" s="704">
        <f>H22</f>
        <v>100</v>
      </c>
      <c r="V22" s="703" t="s">
        <v>14</v>
      </c>
      <c r="W22" s="704">
        <f>J22</f>
        <v>100</v>
      </c>
      <c r="X22" s="1353"/>
      <c r="Y22" s="3689"/>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9"/>
      <c r="Q23" s="1350">
        <f>B23</f>
        <v>111</v>
      </c>
      <c r="R23" s="703" t="s">
        <v>14</v>
      </c>
      <c r="S23" s="704">
        <f>F23</f>
        <v>100</v>
      </c>
      <c r="T23" s="703" t="s">
        <v>14</v>
      </c>
      <c r="U23" s="704">
        <f>H23</f>
        <v>100</v>
      </c>
      <c r="V23" s="703" t="s">
        <v>14</v>
      </c>
      <c r="W23" s="704">
        <f>J23</f>
        <v>100</v>
      </c>
      <c r="X23" s="1353"/>
      <c r="Y23" s="3689"/>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9"/>
      <c r="Q24" s="1350">
        <f t="shared" ref="Q24:Q36" si="11">B24</f>
        <v>111</v>
      </c>
      <c r="R24" s="703" t="s">
        <v>14</v>
      </c>
      <c r="S24" s="704">
        <f>F24</f>
        <v>100</v>
      </c>
      <c r="T24" s="703" t="s">
        <v>14</v>
      </c>
      <c r="U24" s="704">
        <f>H24</f>
        <v>100</v>
      </c>
      <c r="V24" s="703" t="s">
        <v>14</v>
      </c>
      <c r="W24" s="704">
        <f>J24</f>
        <v>100</v>
      </c>
      <c r="X24" s="1353"/>
      <c r="Y24" s="3689"/>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689"/>
      <c r="Q25" s="1341">
        <f t="shared" si="11"/>
        <v>111</v>
      </c>
      <c r="R25" s="699" t="s">
        <v>14</v>
      </c>
      <c r="S25" s="700">
        <f>F25</f>
        <v>100</v>
      </c>
      <c r="T25" s="699" t="s">
        <v>14</v>
      </c>
      <c r="U25" s="700">
        <f>H25</f>
        <v>100</v>
      </c>
      <c r="V25" s="699" t="s">
        <v>14</v>
      </c>
      <c r="W25" s="700">
        <f>J25</f>
        <v>100</v>
      </c>
      <c r="X25" s="701"/>
      <c r="Y25" s="3689"/>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3"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693"/>
      <c r="Q27" s="705" t="str">
        <f t="shared" si="11"/>
        <v>项目停车位配比</v>
      </c>
      <c r="R27" s="706" t="s">
        <v>14</v>
      </c>
      <c r="S27" s="707">
        <f t="shared" si="12"/>
        <v>100</v>
      </c>
      <c r="T27" s="706" t="s">
        <v>14</v>
      </c>
      <c r="U27" s="707">
        <f t="shared" si="13"/>
        <v>100</v>
      </c>
      <c r="V27" s="706" t="s">
        <v>14</v>
      </c>
      <c r="W27" s="707">
        <f t="shared" si="14"/>
        <v>100</v>
      </c>
      <c r="X27" s="708"/>
      <c r="Y27" s="3693"/>
      <c r="Z27" s="709"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3"/>
      <c r="Q28" s="1350" t="str">
        <f t="shared" si="11"/>
        <v>公共部分装修</v>
      </c>
      <c r="R28" s="703" t="s">
        <v>14</v>
      </c>
      <c r="S28" s="704">
        <f t="shared" si="12"/>
        <v>100</v>
      </c>
      <c r="T28" s="703" t="s">
        <v>14</v>
      </c>
      <c r="U28" s="704">
        <f t="shared" si="13"/>
        <v>100</v>
      </c>
      <c r="V28" s="703" t="s">
        <v>14</v>
      </c>
      <c r="W28" s="704">
        <f t="shared" si="14"/>
        <v>100</v>
      </c>
      <c r="X28" s="1353"/>
      <c r="Y28" s="3693"/>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3"/>
      <c r="Q29" s="1350" t="str">
        <f t="shared" si="11"/>
        <v>成新率</v>
      </c>
      <c r="R29" s="703" t="s">
        <v>14</v>
      </c>
      <c r="S29" s="704" t="e">
        <f t="shared" si="12"/>
        <v>#N/A</v>
      </c>
      <c r="T29" s="703" t="s">
        <v>14</v>
      </c>
      <c r="U29" s="704" t="e">
        <f t="shared" si="13"/>
        <v>#N/A</v>
      </c>
      <c r="V29" s="703" t="s">
        <v>14</v>
      </c>
      <c r="W29" s="704" t="e">
        <f t="shared" si="14"/>
        <v>#N/A</v>
      </c>
      <c r="X29" s="1353"/>
      <c r="Y29" s="3693"/>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693"/>
      <c r="Q30" s="1350" t="str">
        <f t="shared" si="11"/>
        <v>物业等级</v>
      </c>
      <c r="R30" s="703" t="s">
        <v>14</v>
      </c>
      <c r="S30" s="704">
        <f t="shared" si="12"/>
        <v>100</v>
      </c>
      <c r="T30" s="703" t="s">
        <v>14</v>
      </c>
      <c r="U30" s="704">
        <f t="shared" si="13"/>
        <v>100</v>
      </c>
      <c r="V30" s="703" t="s">
        <v>14</v>
      </c>
      <c r="W30" s="704">
        <f t="shared" si="14"/>
        <v>100</v>
      </c>
      <c r="X30" s="1353"/>
      <c r="Y30" s="3693"/>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3"/>
      <c r="Q31" s="1341" t="str">
        <f t="shared" si="11"/>
        <v>停车位面积</v>
      </c>
      <c r="R31" s="699" t="s">
        <v>14</v>
      </c>
      <c r="S31" s="700" t="e">
        <f t="shared" si="12"/>
        <v>#N/A</v>
      </c>
      <c r="T31" s="699" t="s">
        <v>14</v>
      </c>
      <c r="U31" s="700" t="e">
        <f t="shared" si="13"/>
        <v>#N/A</v>
      </c>
      <c r="V31" s="699" t="s">
        <v>14</v>
      </c>
      <c r="W31" s="700" t="e">
        <f t="shared" si="14"/>
        <v>#N/A</v>
      </c>
      <c r="X31" s="701"/>
      <c r="Y31" s="3693"/>
      <c r="Z31" s="52" t="str">
        <f t="shared" si="15"/>
        <v>停车位面积</v>
      </c>
      <c r="AA31" s="702" t="e">
        <f t="shared" si="3"/>
        <v>#N/A</v>
      </c>
      <c r="AB31" s="702" t="e">
        <f t="shared" si="4"/>
        <v>#N/A</v>
      </c>
      <c r="AC31" s="702"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3" t="s">
        <v>1696</v>
      </c>
      <c r="Q32" s="1350" t="str">
        <f t="shared" si="11"/>
        <v>车位类型</v>
      </c>
      <c r="R32" s="703" t="s">
        <v>14</v>
      </c>
      <c r="S32" s="704">
        <f t="shared" si="12"/>
        <v>100</v>
      </c>
      <c r="T32" s="703" t="s">
        <v>14</v>
      </c>
      <c r="U32" s="704">
        <f t="shared" si="13"/>
        <v>100</v>
      </c>
      <c r="V32" s="703" t="s">
        <v>14</v>
      </c>
      <c r="W32" s="704">
        <f t="shared" si="14"/>
        <v>100</v>
      </c>
      <c r="X32" s="1353"/>
      <c r="Y32" s="3693"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3"/>
      <c r="Q33" s="1350" t="str">
        <f t="shared" si="11"/>
        <v>是否直接入户</v>
      </c>
      <c r="R33" s="703" t="s">
        <v>14</v>
      </c>
      <c r="S33" s="704">
        <f t="shared" si="12"/>
        <v>100</v>
      </c>
      <c r="T33" s="703" t="s">
        <v>14</v>
      </c>
      <c r="U33" s="704">
        <f t="shared" si="13"/>
        <v>100</v>
      </c>
      <c r="V33" s="703" t="s">
        <v>14</v>
      </c>
      <c r="W33" s="704">
        <f t="shared" si="14"/>
        <v>100</v>
      </c>
      <c r="X33" s="1353"/>
      <c r="Y33" s="3693"/>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3"/>
      <c r="Q34" s="1350">
        <f t="shared" si="11"/>
        <v>111</v>
      </c>
      <c r="R34" s="703" t="s">
        <v>14</v>
      </c>
      <c r="S34" s="704">
        <f t="shared" si="12"/>
        <v>100</v>
      </c>
      <c r="T34" s="703" t="s">
        <v>14</v>
      </c>
      <c r="U34" s="704">
        <f t="shared" si="13"/>
        <v>100</v>
      </c>
      <c r="V34" s="703" t="s">
        <v>14</v>
      </c>
      <c r="W34" s="704">
        <f t="shared" si="14"/>
        <v>100</v>
      </c>
      <c r="X34" s="1353"/>
      <c r="Y34" s="3693"/>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3"/>
      <c r="Q35" s="705">
        <f t="shared" si="11"/>
        <v>111</v>
      </c>
      <c r="R35" s="706" t="s">
        <v>14</v>
      </c>
      <c r="S35" s="707">
        <f t="shared" si="12"/>
        <v>100</v>
      </c>
      <c r="T35" s="706" t="s">
        <v>14</v>
      </c>
      <c r="U35" s="707">
        <f t="shared" si="13"/>
        <v>100</v>
      </c>
      <c r="V35" s="706" t="s">
        <v>14</v>
      </c>
      <c r="W35" s="707">
        <f t="shared" si="14"/>
        <v>100</v>
      </c>
      <c r="X35" s="708"/>
      <c r="Y35" s="3693"/>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3"/>
      <c r="Q36" s="1350">
        <f t="shared" si="11"/>
        <v>111</v>
      </c>
      <c r="R36" s="703" t="s">
        <v>14</v>
      </c>
      <c r="S36" s="704">
        <f t="shared" si="12"/>
        <v>100</v>
      </c>
      <c r="T36" s="703" t="s">
        <v>14</v>
      </c>
      <c r="U36" s="704">
        <f t="shared" si="13"/>
        <v>100</v>
      </c>
      <c r="V36" s="703" t="s">
        <v>14</v>
      </c>
      <c r="W36" s="704">
        <f t="shared" si="14"/>
        <v>100</v>
      </c>
      <c r="X36" s="1353"/>
      <c r="Y36" s="3693"/>
      <c r="Z36" s="1354">
        <f t="shared" si="15"/>
        <v>111</v>
      </c>
      <c r="AA36" s="1351">
        <f t="shared" si="3"/>
        <v>1</v>
      </c>
      <c r="AB36" s="1351">
        <f t="shared" si="4"/>
        <v>1</v>
      </c>
      <c r="AC36" s="1351">
        <f t="shared" si="5"/>
        <v>1</v>
      </c>
    </row>
    <row r="37" spans="1:29" ht="15">
      <c r="A37" s="430" t="s">
        <v>1844</v>
      </c>
      <c r="B37" s="1971" t="s">
        <v>3354</v>
      </c>
      <c r="C37" s="1152" t="s">
        <v>0</v>
      </c>
      <c r="D37" s="1153"/>
      <c r="E37" s="1154"/>
      <c r="F37" s="1155"/>
      <c r="G37" s="1156"/>
      <c r="H37" s="1157"/>
      <c r="I37" s="1154"/>
      <c r="J37" s="1157"/>
      <c r="K37" s="567"/>
      <c r="L37" s="2721"/>
      <c r="M37" s="2722"/>
      <c r="N37" s="2713"/>
      <c r="O37" s="2722"/>
      <c r="P37" s="3695" t="str">
        <f>A37</f>
        <v>成交单价</v>
      </c>
      <c r="Q37" s="3695"/>
      <c r="R37" s="3696">
        <f>E37</f>
        <v>0</v>
      </c>
      <c r="S37" s="3696"/>
      <c r="T37" s="3696">
        <f>G37</f>
        <v>0</v>
      </c>
      <c r="U37" s="3696"/>
      <c r="V37" s="3696">
        <f>I37</f>
        <v>0</v>
      </c>
      <c r="W37" s="3696"/>
      <c r="X37" s="688"/>
      <c r="Y37" s="710"/>
      <c r="Z37" s="688"/>
      <c r="AA37" s="688"/>
      <c r="AB37" s="688"/>
      <c r="AC37" s="688"/>
    </row>
    <row r="38" spans="1:29" ht="15.75" thickBot="1">
      <c r="A38" s="437" t="s">
        <v>1845</v>
      </c>
      <c r="B38" s="438" t="str">
        <f>B37</f>
        <v>元/平方米</v>
      </c>
      <c r="C38" s="1158" t="e">
        <f>R39</f>
        <v>#DIV/0!</v>
      </c>
      <c r="D38" s="2315" t="s">
        <v>2135</v>
      </c>
      <c r="E38" s="1159" t="e">
        <f>R38</f>
        <v>#DIV/0!</v>
      </c>
      <c r="F38" s="2316"/>
      <c r="G38" s="1158" t="e">
        <f>T38</f>
        <v>#DIV/0!</v>
      </c>
      <c r="H38" s="2316"/>
      <c r="I38" s="1159" t="e">
        <f>V38</f>
        <v>#DIV/0!</v>
      </c>
      <c r="J38" s="2316"/>
      <c r="K38" s="2318">
        <f>F38+H38+J38</f>
        <v>0</v>
      </c>
      <c r="L38" s="2721"/>
      <c r="M38" s="2722"/>
      <c r="N38" s="2722"/>
      <c r="O38" s="2722"/>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8"/>
      <c r="L39" s="2721"/>
      <c r="M39" s="2722"/>
      <c r="N39" s="2722"/>
      <c r="O39" s="2722"/>
      <c r="P39" s="3697" t="str">
        <f>A39</f>
        <v>估价对象XX用房的比较价值（楼面单价，元/平方米）</v>
      </c>
      <c r="Q39" s="3698"/>
      <c r="R39" s="3763" t="e">
        <f>IF(F1="售价",ROUND(IF(D38="简单平均",AVERAGE(R38:W38),R38*F38+T38*H38+V38*J38),0),ROUND(IF(D38="简单平均",AVERAGE(R38:V38),R38*F38+T38*H38+V38*J38),1))</f>
        <v>#DIV/0!</v>
      </c>
      <c r="S39" s="3763"/>
      <c r="T39" s="3763"/>
      <c r="U39" s="3763"/>
      <c r="V39" s="3763"/>
      <c r="W39" s="3763"/>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2023-6</v>
      </c>
      <c r="D48" s="1183">
        <f>EDATE(C48,-1)</f>
        <v>45047</v>
      </c>
      <c r="E48" s="1183">
        <f t="shared" ref="E48:O48" si="16">EDATE(D48,-1)</f>
        <v>45017</v>
      </c>
      <c r="F48" s="1183">
        <f t="shared" si="16"/>
        <v>44986</v>
      </c>
      <c r="G48" s="1183">
        <f t="shared" si="16"/>
        <v>44958</v>
      </c>
      <c r="H48" s="1183">
        <f t="shared" si="16"/>
        <v>44927</v>
      </c>
      <c r="I48" s="1183">
        <f t="shared" si="16"/>
        <v>44896</v>
      </c>
      <c r="J48" s="1183">
        <f t="shared" si="16"/>
        <v>44866</v>
      </c>
      <c r="K48" s="1183">
        <f t="shared" si="16"/>
        <v>44835</v>
      </c>
      <c r="L48" s="1183">
        <f t="shared" si="16"/>
        <v>44805</v>
      </c>
      <c r="M48" s="1183">
        <f t="shared" si="16"/>
        <v>44774</v>
      </c>
      <c r="N48" s="1183">
        <f t="shared" si="16"/>
        <v>44743</v>
      </c>
      <c r="O48" s="1183">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2"/>
      <c r="M4" s="2713"/>
      <c r="N4" s="2713"/>
      <c r="O4" s="2713"/>
      <c r="P4" s="3677" t="s">
        <v>1775</v>
      </c>
      <c r="Q4" s="3678"/>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746" t="s">
        <v>1673</v>
      </c>
      <c r="D5" s="3667"/>
      <c r="E5" s="3745" t="s">
        <v>1674</v>
      </c>
      <c r="F5" s="3665"/>
      <c r="G5" s="3746" t="s">
        <v>1675</v>
      </c>
      <c r="H5" s="3667"/>
      <c r="I5" s="3746" t="s">
        <v>1676</v>
      </c>
      <c r="J5" s="3667"/>
      <c r="K5" s="559"/>
      <c r="L5" s="2712"/>
      <c r="M5" s="2713"/>
      <c r="N5" s="2713"/>
      <c r="O5" s="2713"/>
      <c r="P5" s="3679"/>
      <c r="Q5" s="3680"/>
      <c r="R5" s="3662"/>
      <c r="S5" s="3663"/>
      <c r="T5" s="3662"/>
      <c r="U5" s="3663"/>
      <c r="V5" s="3657"/>
      <c r="W5" s="3657"/>
      <c r="X5" s="1353"/>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2712"/>
      <c r="M6" s="2713"/>
      <c r="N6" s="2713"/>
      <c r="O6" s="2713"/>
      <c r="P6" s="3681"/>
      <c r="Q6" s="3682"/>
      <c r="R6" s="3662"/>
      <c r="S6" s="3663"/>
      <c r="T6" s="3683"/>
      <c r="U6" s="3684"/>
      <c r="V6" s="3657"/>
      <c r="W6" s="3657"/>
      <c r="X6" s="1353"/>
      <c r="Y6" s="3683"/>
      <c r="Z6" s="3684"/>
      <c r="AA6" s="3656"/>
      <c r="AB6" s="3656"/>
      <c r="AC6" s="3656"/>
    </row>
    <row r="7" spans="1:29" s="108" customFormat="1" ht="15.75" thickBot="1">
      <c r="A7" s="362" t="s">
        <v>1679</v>
      </c>
      <c r="B7" s="363"/>
      <c r="C7" s="364">
        <f>'数据-取费表'!B2</f>
        <v>45085</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58" t="s">
        <v>1680</v>
      </c>
      <c r="Q7" s="3685"/>
      <c r="R7" s="699" t="s">
        <v>14</v>
      </c>
      <c r="S7" s="700">
        <f t="shared" ref="S7:S14" si="0">F7</f>
        <v>0</v>
      </c>
      <c r="T7" s="699" t="s">
        <v>14</v>
      </c>
      <c r="U7" s="700">
        <f t="shared" ref="U7:U14" si="1">H7</f>
        <v>0</v>
      </c>
      <c r="V7" s="699" t="s">
        <v>14</v>
      </c>
      <c r="W7" s="700">
        <f t="shared" ref="W7:W14" si="2">J7</f>
        <v>0</v>
      </c>
      <c r="X7" s="701"/>
      <c r="Y7" s="3658" t="s">
        <v>1680</v>
      </c>
      <c r="Z7" s="3659"/>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58" t="s">
        <v>1683</v>
      </c>
      <c r="Q8" s="3659"/>
      <c r="R8" s="699" t="s">
        <v>14</v>
      </c>
      <c r="S8" s="700">
        <f t="shared" si="0"/>
        <v>100</v>
      </c>
      <c r="T8" s="699" t="s">
        <v>14</v>
      </c>
      <c r="U8" s="700">
        <f t="shared" si="1"/>
        <v>100</v>
      </c>
      <c r="V8" s="699" t="s">
        <v>14</v>
      </c>
      <c r="W8" s="700">
        <f t="shared" si="2"/>
        <v>100</v>
      </c>
      <c r="X8" s="701"/>
      <c r="Y8" s="3658" t="s">
        <v>1683</v>
      </c>
      <c r="Z8" s="3659"/>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5" t="s">
        <v>1686</v>
      </c>
      <c r="Q9" s="1341" t="str">
        <f t="shared" ref="Q9:Q14" si="6">B9</f>
        <v>用途</v>
      </c>
      <c r="R9" s="699" t="s">
        <v>14</v>
      </c>
      <c r="S9" s="700">
        <f t="shared" si="0"/>
        <v>100</v>
      </c>
      <c r="T9" s="699" t="s">
        <v>14</v>
      </c>
      <c r="U9" s="700">
        <f t="shared" si="1"/>
        <v>100</v>
      </c>
      <c r="V9" s="699" t="s">
        <v>14</v>
      </c>
      <c r="W9" s="700">
        <f t="shared" si="2"/>
        <v>100</v>
      </c>
      <c r="X9" s="701"/>
      <c r="Y9" s="3627"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5"/>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5"/>
      <c r="Q11" s="1341">
        <f t="shared" si="6"/>
        <v>111</v>
      </c>
      <c r="R11" s="699" t="s">
        <v>14</v>
      </c>
      <c r="S11" s="700">
        <f t="shared" si="0"/>
        <v>100</v>
      </c>
      <c r="T11" s="699" t="s">
        <v>14</v>
      </c>
      <c r="U11" s="700">
        <f t="shared" si="1"/>
        <v>100</v>
      </c>
      <c r="V11" s="699" t="s">
        <v>14</v>
      </c>
      <c r="W11" s="700">
        <f t="shared" si="2"/>
        <v>100</v>
      </c>
      <c r="X11" s="701"/>
      <c r="Y11" s="362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9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8" t="s">
        <v>1691</v>
      </c>
      <c r="Q14" s="1350" t="str">
        <f t="shared" si="6"/>
        <v>交通便捷度</v>
      </c>
      <c r="R14" s="703" t="s">
        <v>14</v>
      </c>
      <c r="S14" s="704">
        <f t="shared" si="0"/>
        <v>100</v>
      </c>
      <c r="T14" s="703" t="s">
        <v>14</v>
      </c>
      <c r="U14" s="704">
        <f t="shared" si="1"/>
        <v>100</v>
      </c>
      <c r="V14" s="703" t="s">
        <v>14</v>
      </c>
      <c r="W14" s="704">
        <f t="shared" si="2"/>
        <v>100</v>
      </c>
      <c r="X14" s="1353"/>
      <c r="Y14" s="368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89"/>
      <c r="Q15" s="1350"/>
      <c r="R15" s="703"/>
      <c r="S15" s="704"/>
      <c r="T15" s="703"/>
      <c r="U15" s="704"/>
      <c r="V15" s="703"/>
      <c r="W15" s="704"/>
      <c r="X15" s="1353"/>
      <c r="Y15" s="368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9"/>
      <c r="Q16" s="1350" t="str">
        <f>B16</f>
        <v>公共配套设施</v>
      </c>
      <c r="R16" s="703" t="s">
        <v>14</v>
      </c>
      <c r="S16" s="704">
        <f>F16</f>
        <v>100</v>
      </c>
      <c r="T16" s="703" t="s">
        <v>14</v>
      </c>
      <c r="U16" s="704">
        <f>H16</f>
        <v>100</v>
      </c>
      <c r="V16" s="703" t="s">
        <v>14</v>
      </c>
      <c r="W16" s="704">
        <f>J16</f>
        <v>100</v>
      </c>
      <c r="X16" s="1353"/>
      <c r="Y16" s="368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89"/>
      <c r="Q17" s="1350"/>
      <c r="R17" s="703"/>
      <c r="S17" s="704"/>
      <c r="T17" s="703"/>
      <c r="U17" s="704"/>
      <c r="V17" s="703"/>
      <c r="W17" s="704"/>
      <c r="X17" s="1353"/>
      <c r="Y17" s="368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9"/>
      <c r="Q18" s="1350" t="str">
        <f>B18</f>
        <v>基础设施水平</v>
      </c>
      <c r="R18" s="703" t="s">
        <v>14</v>
      </c>
      <c r="S18" s="704">
        <f>F18</f>
        <v>100</v>
      </c>
      <c r="T18" s="703" t="s">
        <v>14</v>
      </c>
      <c r="U18" s="704">
        <f>H18</f>
        <v>100</v>
      </c>
      <c r="V18" s="703" t="s">
        <v>14</v>
      </c>
      <c r="W18" s="704">
        <f>J18</f>
        <v>100</v>
      </c>
      <c r="X18" s="1353"/>
      <c r="Y18" s="368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689"/>
      <c r="Q19" s="1350"/>
      <c r="R19" s="703"/>
      <c r="S19" s="704"/>
      <c r="T19" s="703"/>
      <c r="U19" s="704"/>
      <c r="V19" s="703"/>
      <c r="W19" s="704"/>
      <c r="X19" s="1353"/>
      <c r="Y19" s="368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9"/>
      <c r="Q20" s="1350" t="str">
        <f>B20</f>
        <v>自然及人文环境</v>
      </c>
      <c r="R20" s="703" t="s">
        <v>14</v>
      </c>
      <c r="S20" s="704">
        <f>F20</f>
        <v>100</v>
      </c>
      <c r="T20" s="703" t="s">
        <v>14</v>
      </c>
      <c r="U20" s="704">
        <f>H20</f>
        <v>100</v>
      </c>
      <c r="V20" s="703" t="s">
        <v>14</v>
      </c>
      <c r="W20" s="704">
        <f>J20</f>
        <v>100</v>
      </c>
      <c r="X20" s="1353"/>
      <c r="Y20" s="368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89"/>
      <c r="Q21" s="1350"/>
      <c r="R21" s="703"/>
      <c r="S21" s="704"/>
      <c r="T21" s="703"/>
      <c r="U21" s="704"/>
      <c r="V21" s="703"/>
      <c r="W21" s="704"/>
      <c r="X21" s="1353"/>
      <c r="Y21" s="368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9"/>
      <c r="Q22" s="1350" t="str">
        <f>B22</f>
        <v>楼层</v>
      </c>
      <c r="R22" s="703" t="s">
        <v>14</v>
      </c>
      <c r="S22" s="704">
        <f>F22</f>
        <v>100</v>
      </c>
      <c r="T22" s="703" t="s">
        <v>14</v>
      </c>
      <c r="U22" s="704">
        <f>H22</f>
        <v>100</v>
      </c>
      <c r="V22" s="703" t="s">
        <v>14</v>
      </c>
      <c r="W22" s="704">
        <f>J22</f>
        <v>100</v>
      </c>
      <c r="X22" s="1353"/>
      <c r="Y22" s="368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9"/>
      <c r="Q23" s="1350">
        <f>B23</f>
        <v>111</v>
      </c>
      <c r="R23" s="703" t="s">
        <v>14</v>
      </c>
      <c r="S23" s="704">
        <f>F23</f>
        <v>100</v>
      </c>
      <c r="T23" s="703" t="s">
        <v>14</v>
      </c>
      <c r="U23" s="704">
        <f>H23</f>
        <v>100</v>
      </c>
      <c r="V23" s="703" t="s">
        <v>14</v>
      </c>
      <c r="W23" s="704">
        <f>J23</f>
        <v>100</v>
      </c>
      <c r="X23" s="1353"/>
      <c r="Y23" s="368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9"/>
      <c r="Q24" s="1350">
        <f t="shared" ref="Q24:Q34" si="11">B24</f>
        <v>111</v>
      </c>
      <c r="R24" s="703" t="s">
        <v>14</v>
      </c>
      <c r="S24" s="704">
        <f>F24</f>
        <v>100</v>
      </c>
      <c r="T24" s="703" t="s">
        <v>14</v>
      </c>
      <c r="U24" s="704">
        <f>H24</f>
        <v>100</v>
      </c>
      <c r="V24" s="703" t="s">
        <v>14</v>
      </c>
      <c r="W24" s="704">
        <f>J24</f>
        <v>100</v>
      </c>
      <c r="X24" s="1353"/>
      <c r="Y24" s="3689"/>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689"/>
      <c r="Q25" s="1341">
        <f t="shared" si="11"/>
        <v>111</v>
      </c>
      <c r="R25" s="699" t="s">
        <v>14</v>
      </c>
      <c r="S25" s="700">
        <f>F25</f>
        <v>100</v>
      </c>
      <c r="T25" s="699" t="s">
        <v>14</v>
      </c>
      <c r="U25" s="700">
        <f>H25</f>
        <v>100</v>
      </c>
      <c r="V25" s="699" t="s">
        <v>14</v>
      </c>
      <c r="W25" s="700">
        <f>J25</f>
        <v>100</v>
      </c>
      <c r="X25" s="701"/>
      <c r="Y25" s="3689"/>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6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3"/>
      <c r="Q27" s="705" t="str">
        <f t="shared" si="11"/>
        <v>成新率</v>
      </c>
      <c r="R27" s="706" t="s">
        <v>14</v>
      </c>
      <c r="S27" s="707" t="e">
        <f t="shared" si="12"/>
        <v>#N/A</v>
      </c>
      <c r="T27" s="706" t="s">
        <v>14</v>
      </c>
      <c r="U27" s="707" t="e">
        <f t="shared" si="13"/>
        <v>#N/A</v>
      </c>
      <c r="V27" s="706" t="s">
        <v>14</v>
      </c>
      <c r="W27" s="707" t="e">
        <f t="shared" si="14"/>
        <v>#N/A</v>
      </c>
      <c r="X27" s="708"/>
      <c r="Y27" s="369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3"/>
      <c r="Q28" s="1350" t="str">
        <f t="shared" si="11"/>
        <v>物业等级</v>
      </c>
      <c r="R28" s="703" t="s">
        <v>14</v>
      </c>
      <c r="S28" s="704">
        <f t="shared" si="12"/>
        <v>100</v>
      </c>
      <c r="T28" s="703" t="s">
        <v>14</v>
      </c>
      <c r="U28" s="704">
        <f t="shared" si="13"/>
        <v>100</v>
      </c>
      <c r="V28" s="703" t="s">
        <v>14</v>
      </c>
      <c r="W28" s="704">
        <f t="shared" si="14"/>
        <v>100</v>
      </c>
      <c r="X28" s="1353"/>
      <c r="Y28" s="3693"/>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693"/>
      <c r="Q29" s="1350" t="str">
        <f t="shared" si="11"/>
        <v>有无电梯</v>
      </c>
      <c r="R29" s="703" t="s">
        <v>14</v>
      </c>
      <c r="S29" s="704">
        <f t="shared" si="12"/>
        <v>100</v>
      </c>
      <c r="T29" s="703" t="s">
        <v>14</v>
      </c>
      <c r="U29" s="704">
        <f t="shared" si="13"/>
        <v>100</v>
      </c>
      <c r="V29" s="703" t="s">
        <v>14</v>
      </c>
      <c r="W29" s="704">
        <f t="shared" si="14"/>
        <v>100</v>
      </c>
      <c r="X29" s="1353"/>
      <c r="Y29" s="369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3"/>
      <c r="Q30" s="1350" t="str">
        <f t="shared" si="11"/>
        <v>建筑面积</v>
      </c>
      <c r="R30" s="703" t="s">
        <v>14</v>
      </c>
      <c r="S30" s="704" t="e">
        <f t="shared" si="12"/>
        <v>#N/A</v>
      </c>
      <c r="T30" s="703" t="s">
        <v>14</v>
      </c>
      <c r="U30" s="704" t="e">
        <f t="shared" si="13"/>
        <v>#N/A</v>
      </c>
      <c r="V30" s="703" t="s">
        <v>14</v>
      </c>
      <c r="W30" s="704" t="e">
        <f t="shared" si="14"/>
        <v>#N/A</v>
      </c>
      <c r="X30" s="1353"/>
      <c r="Y30" s="3693"/>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693"/>
      <c r="Q31" s="1341" t="str">
        <f t="shared" si="11"/>
        <v>是否封闭</v>
      </c>
      <c r="R31" s="699" t="s">
        <v>14</v>
      </c>
      <c r="S31" s="700">
        <f t="shared" si="12"/>
        <v>100</v>
      </c>
      <c r="T31" s="699" t="s">
        <v>14</v>
      </c>
      <c r="U31" s="700">
        <f t="shared" si="13"/>
        <v>100</v>
      </c>
      <c r="V31" s="699" t="s">
        <v>14</v>
      </c>
      <c r="W31" s="700">
        <f t="shared" si="14"/>
        <v>100</v>
      </c>
      <c r="X31" s="701"/>
      <c r="Y31" s="369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3" t="s">
        <v>1696</v>
      </c>
      <c r="Q32" s="1350">
        <f t="shared" si="11"/>
        <v>111</v>
      </c>
      <c r="R32" s="703" t="s">
        <v>14</v>
      </c>
      <c r="S32" s="704">
        <f t="shared" si="12"/>
        <v>100</v>
      </c>
      <c r="T32" s="703" t="s">
        <v>14</v>
      </c>
      <c r="U32" s="704">
        <f t="shared" si="13"/>
        <v>100</v>
      </c>
      <c r="V32" s="703" t="s">
        <v>14</v>
      </c>
      <c r="W32" s="704">
        <f t="shared" si="14"/>
        <v>100</v>
      </c>
      <c r="X32" s="1353"/>
      <c r="Y32" s="369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3"/>
      <c r="Q33" s="1350">
        <f t="shared" si="11"/>
        <v>111</v>
      </c>
      <c r="R33" s="703" t="s">
        <v>14</v>
      </c>
      <c r="S33" s="704">
        <f t="shared" si="12"/>
        <v>100</v>
      </c>
      <c r="T33" s="703" t="s">
        <v>14</v>
      </c>
      <c r="U33" s="704">
        <f t="shared" si="13"/>
        <v>100</v>
      </c>
      <c r="V33" s="703" t="s">
        <v>14</v>
      </c>
      <c r="W33" s="704">
        <f t="shared" si="14"/>
        <v>100</v>
      </c>
      <c r="X33" s="1353"/>
      <c r="Y33" s="369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693"/>
      <c r="Q34" s="1350">
        <f t="shared" si="11"/>
        <v>111</v>
      </c>
      <c r="R34" s="703" t="s">
        <v>14</v>
      </c>
      <c r="S34" s="704">
        <f t="shared" si="12"/>
        <v>100</v>
      </c>
      <c r="T34" s="703" t="s">
        <v>14</v>
      </c>
      <c r="U34" s="704">
        <f t="shared" si="13"/>
        <v>100</v>
      </c>
      <c r="V34" s="703" t="s">
        <v>14</v>
      </c>
      <c r="W34" s="704">
        <f t="shared" si="14"/>
        <v>100</v>
      </c>
      <c r="X34" s="1353"/>
      <c r="Y34" s="369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695" t="str">
        <f>A35</f>
        <v>成交单价（元/平方米）</v>
      </c>
      <c r="Q35" s="3695"/>
      <c r="R35" s="3696">
        <f>E35</f>
        <v>0</v>
      </c>
      <c r="S35" s="3696"/>
      <c r="T35" s="3696">
        <f>G35</f>
        <v>0</v>
      </c>
      <c r="U35" s="3696"/>
      <c r="V35" s="3696">
        <f>I35</f>
        <v>0</v>
      </c>
      <c r="W35" s="3696"/>
      <c r="X35" s="688"/>
      <c r="Y35" s="710"/>
      <c r="Z35" s="688"/>
      <c r="AA35" s="688"/>
      <c r="AB35" s="688"/>
      <c r="AC35" s="688"/>
    </row>
    <row r="36" spans="1:30" ht="15.75" thickBot="1">
      <c r="A36" s="437" t="s">
        <v>1793</v>
      </c>
      <c r="B36" s="438"/>
      <c r="C36" s="1158" t="e">
        <f>R37</f>
        <v>#DIV/0!</v>
      </c>
      <c r="D36" s="2315" t="s">
        <v>2135</v>
      </c>
      <c r="E36" s="1159" t="e">
        <f>R36</f>
        <v>#DIV/0!</v>
      </c>
      <c r="F36" s="2316"/>
      <c r="G36" s="1158" t="e">
        <f>T36</f>
        <v>#DIV/0!</v>
      </c>
      <c r="H36" s="2316"/>
      <c r="I36" s="1159" t="e">
        <f>V36</f>
        <v>#DIV/0!</v>
      </c>
      <c r="J36" s="2316"/>
      <c r="K36" s="2318">
        <f>F36+H36+J36</f>
        <v>0</v>
      </c>
      <c r="L36" s="2721"/>
      <c r="M36" s="2722"/>
      <c r="N36" s="2713"/>
      <c r="O36" s="2722"/>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97" t="str">
        <f>A37</f>
        <v>估价对象XX用房的比较价值（楼面单价，元/平方米）</v>
      </c>
      <c r="Q37" s="3698"/>
      <c r="R37" s="3763" t="e">
        <f>IF(F1="售价",ROUND(IF(D36="简单平均",AVERAGE(R36:W36),R36*F36+T36*H36+V36*J36),0),ROUND(IF(D36="简单平均",AVERAGE(R36:V36),R36*F36+T36*H36+V36*J36),1))</f>
        <v>#DIV/0!</v>
      </c>
      <c r="S37" s="3763"/>
      <c r="T37" s="3763"/>
      <c r="U37" s="3763"/>
      <c r="V37" s="3763"/>
      <c r="W37" s="3763"/>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2023-6</v>
      </c>
      <c r="D46" s="1183">
        <f>EDATE(C46,-1)</f>
        <v>45047</v>
      </c>
      <c r="E46" s="1183">
        <f t="shared" ref="E46:O46" si="16">EDATE(D46,-1)</f>
        <v>45017</v>
      </c>
      <c r="F46" s="1183">
        <f t="shared" si="16"/>
        <v>44986</v>
      </c>
      <c r="G46" s="1183">
        <f t="shared" si="16"/>
        <v>44958</v>
      </c>
      <c r="H46" s="1183">
        <f t="shared" si="16"/>
        <v>44927</v>
      </c>
      <c r="I46" s="1183">
        <f t="shared" si="16"/>
        <v>44896</v>
      </c>
      <c r="J46" s="1183">
        <f t="shared" si="16"/>
        <v>44866</v>
      </c>
      <c r="K46" s="1183">
        <f t="shared" si="16"/>
        <v>44835</v>
      </c>
      <c r="L46" s="1183">
        <f t="shared" si="16"/>
        <v>44805</v>
      </c>
      <c r="M46" s="1183">
        <f t="shared" si="16"/>
        <v>44774</v>
      </c>
      <c r="N46" s="1183">
        <f t="shared" si="16"/>
        <v>44743</v>
      </c>
      <c r="O46" s="1183">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8"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73" t="s">
        <v>1770</v>
      </c>
      <c r="D4" s="3674"/>
      <c r="E4" s="3675" t="s">
        <v>1771</v>
      </c>
      <c r="F4" s="3676"/>
      <c r="G4" s="3673" t="s">
        <v>1772</v>
      </c>
      <c r="H4" s="3674"/>
      <c r="I4" s="3673" t="s">
        <v>1773</v>
      </c>
      <c r="J4" s="3674"/>
      <c r="K4" s="559" t="s">
        <v>1774</v>
      </c>
      <c r="L4" s="2712"/>
      <c r="M4" s="2713"/>
      <c r="N4" s="2713"/>
      <c r="O4" s="2713"/>
      <c r="P4" s="3677" t="s">
        <v>1775</v>
      </c>
      <c r="Q4" s="3678"/>
      <c r="R4" s="3660" t="s">
        <v>1771</v>
      </c>
      <c r="S4" s="3661"/>
      <c r="T4" s="3660" t="s">
        <v>1772</v>
      </c>
      <c r="U4" s="3661"/>
      <c r="V4" s="3657" t="s">
        <v>1773</v>
      </c>
      <c r="W4" s="3657"/>
      <c r="X4" s="1353"/>
      <c r="Y4" s="3660" t="s">
        <v>1775</v>
      </c>
      <c r="Z4" s="3661"/>
      <c r="AA4" s="3654" t="s">
        <v>1771</v>
      </c>
      <c r="AB4" s="3655" t="s">
        <v>1772</v>
      </c>
      <c r="AC4" s="3654" t="s">
        <v>1773</v>
      </c>
    </row>
    <row r="5" spans="1:30" ht="15">
      <c r="A5" s="358"/>
      <c r="B5" s="359"/>
      <c r="C5" s="3746" t="s">
        <v>1673</v>
      </c>
      <c r="D5" s="3667"/>
      <c r="E5" s="3745" t="s">
        <v>1674</v>
      </c>
      <c r="F5" s="3665"/>
      <c r="G5" s="3746" t="s">
        <v>1675</v>
      </c>
      <c r="H5" s="3667"/>
      <c r="I5" s="3746" t="s">
        <v>1676</v>
      </c>
      <c r="J5" s="3667"/>
      <c r="K5" s="559"/>
      <c r="L5" s="2712"/>
      <c r="M5" s="2713"/>
      <c r="N5" s="2713"/>
      <c r="O5" s="2713"/>
      <c r="P5" s="3679"/>
      <c r="Q5" s="3680"/>
      <c r="R5" s="3662"/>
      <c r="S5" s="3663"/>
      <c r="T5" s="3662"/>
      <c r="U5" s="3663"/>
      <c r="V5" s="3657"/>
      <c r="W5" s="3657"/>
      <c r="X5" s="1353"/>
      <c r="Y5" s="3662"/>
      <c r="Z5" s="3663"/>
      <c r="AA5" s="3655"/>
      <c r="AB5" s="3655"/>
      <c r="AC5" s="3655"/>
    </row>
    <row r="6" spans="1:30" ht="15.75" thickBot="1">
      <c r="A6" s="360"/>
      <c r="B6" s="361"/>
      <c r="C6" s="3668" t="s">
        <v>1677</v>
      </c>
      <c r="D6" s="3669"/>
      <c r="E6" s="3670" t="s">
        <v>1677</v>
      </c>
      <c r="F6" s="3671"/>
      <c r="G6" s="3668" t="s">
        <v>1677</v>
      </c>
      <c r="H6" s="3669"/>
      <c r="I6" s="3668" t="s">
        <v>1677</v>
      </c>
      <c r="J6" s="3669"/>
      <c r="K6" s="559" t="s">
        <v>1678</v>
      </c>
      <c r="L6" s="2712"/>
      <c r="M6" s="2713"/>
      <c r="N6" s="2713"/>
      <c r="O6" s="2713"/>
      <c r="P6" s="3681"/>
      <c r="Q6" s="3682"/>
      <c r="R6" s="3662"/>
      <c r="S6" s="3663"/>
      <c r="T6" s="3683"/>
      <c r="U6" s="3684"/>
      <c r="V6" s="3657"/>
      <c r="W6" s="3657"/>
      <c r="X6" s="1353"/>
      <c r="Y6" s="3683"/>
      <c r="Z6" s="3684"/>
      <c r="AA6" s="3656"/>
      <c r="AB6" s="3656"/>
      <c r="AC6" s="3656"/>
    </row>
    <row r="7" spans="1:30" s="108" customFormat="1" ht="15.75" thickBot="1">
      <c r="A7" s="362" t="s">
        <v>1679</v>
      </c>
      <c r="B7" s="363"/>
      <c r="C7" s="364">
        <f>'数据-取费表'!B2</f>
        <v>45085</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58" t="s">
        <v>1680</v>
      </c>
      <c r="Q7" s="3685"/>
      <c r="R7" s="699" t="s">
        <v>14</v>
      </c>
      <c r="S7" s="700">
        <f t="shared" ref="S7:S15" si="0">F7</f>
        <v>0</v>
      </c>
      <c r="T7" s="699" t="s">
        <v>14</v>
      </c>
      <c r="U7" s="700">
        <f t="shared" ref="U7:U15" si="1">H7</f>
        <v>0</v>
      </c>
      <c r="V7" s="699" t="s">
        <v>14</v>
      </c>
      <c r="W7" s="700">
        <f t="shared" ref="W7:W15" si="2">J7</f>
        <v>0</v>
      </c>
      <c r="X7" s="701"/>
      <c r="Y7" s="3658" t="s">
        <v>1680</v>
      </c>
      <c r="Z7" s="3659"/>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58" t="s">
        <v>1683</v>
      </c>
      <c r="Q8" s="3659"/>
      <c r="R8" s="699" t="s">
        <v>14</v>
      </c>
      <c r="S8" s="700">
        <f t="shared" si="0"/>
        <v>0</v>
      </c>
      <c r="T8" s="699" t="s">
        <v>14</v>
      </c>
      <c r="U8" s="700">
        <f t="shared" si="1"/>
        <v>0</v>
      </c>
      <c r="V8" s="699" t="s">
        <v>14</v>
      </c>
      <c r="W8" s="700">
        <f t="shared" si="2"/>
        <v>0</v>
      </c>
      <c r="X8" s="701"/>
      <c r="Y8" s="3658" t="s">
        <v>1683</v>
      </c>
      <c r="Z8" s="3659"/>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95" t="s">
        <v>1686</v>
      </c>
      <c r="Q9" s="1341" t="str">
        <f t="shared" ref="Q9:Q15" si="6">B9</f>
        <v>用途</v>
      </c>
      <c r="R9" s="699" t="s">
        <v>14</v>
      </c>
      <c r="S9" s="700">
        <f t="shared" si="0"/>
        <v>100</v>
      </c>
      <c r="T9" s="699" t="s">
        <v>14</v>
      </c>
      <c r="U9" s="700">
        <f t="shared" si="1"/>
        <v>100</v>
      </c>
      <c r="V9" s="699" t="s">
        <v>14</v>
      </c>
      <c r="W9" s="700">
        <f t="shared" si="2"/>
        <v>100</v>
      </c>
      <c r="X9" s="701"/>
      <c r="Y9" s="362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19"/>
      <c r="L10" s="2716"/>
      <c r="M10" s="2717"/>
      <c r="N10" s="2717"/>
      <c r="O10" s="2770"/>
      <c r="P10" s="3695"/>
      <c r="Q10" s="1341" t="str">
        <f t="shared" si="6"/>
        <v>土地使用年限（年）</v>
      </c>
      <c r="R10" s="699" t="s">
        <v>14</v>
      </c>
      <c r="S10" s="700">
        <f t="shared" si="0"/>
        <v>117</v>
      </c>
      <c r="T10" s="699" t="s">
        <v>14</v>
      </c>
      <c r="U10" s="700">
        <f t="shared" si="1"/>
        <v>117</v>
      </c>
      <c r="V10" s="699" t="s">
        <v>14</v>
      </c>
      <c r="W10" s="700">
        <f t="shared" si="2"/>
        <v>117</v>
      </c>
      <c r="X10" s="701"/>
      <c r="Y10" s="3627"/>
      <c r="Z10" s="52" t="str">
        <f t="shared" si="7"/>
        <v>土地使用年限（年）</v>
      </c>
      <c r="AA10" s="702">
        <f t="shared" si="3"/>
        <v>0.85470085470085466</v>
      </c>
      <c r="AB10" s="702">
        <f t="shared" si="4"/>
        <v>0.85470085470085466</v>
      </c>
      <c r="AC10" s="702">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695"/>
      <c r="Q11" s="1341" t="str">
        <f t="shared" si="6"/>
        <v>容积率</v>
      </c>
      <c r="R11" s="699" t="s">
        <v>14</v>
      </c>
      <c r="S11" s="700" t="e">
        <f t="shared" si="0"/>
        <v>#N/A</v>
      </c>
      <c r="T11" s="699" t="s">
        <v>14</v>
      </c>
      <c r="U11" s="700" t="e">
        <f t="shared" si="1"/>
        <v>#N/A</v>
      </c>
      <c r="V11" s="699" t="s">
        <v>14</v>
      </c>
      <c r="W11" s="700" t="e">
        <f t="shared" si="2"/>
        <v>#N/A</v>
      </c>
      <c r="X11" s="701"/>
      <c r="Y11" s="3627"/>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695"/>
      <c r="Q12" s="1341" t="str">
        <f t="shared" si="6"/>
        <v>配建</v>
      </c>
      <c r="R12" s="699" t="s">
        <v>14</v>
      </c>
      <c r="S12" s="700">
        <f t="shared" si="0"/>
        <v>100</v>
      </c>
      <c r="T12" s="699" t="s">
        <v>14</v>
      </c>
      <c r="U12" s="700">
        <f t="shared" si="1"/>
        <v>100</v>
      </c>
      <c r="V12" s="699" t="s">
        <v>14</v>
      </c>
      <c r="W12" s="700">
        <f t="shared" si="2"/>
        <v>100</v>
      </c>
      <c r="X12" s="701"/>
      <c r="Y12" s="362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695"/>
      <c r="Q13" s="1341">
        <f t="shared" si="6"/>
        <v>111</v>
      </c>
      <c r="R13" s="699" t="s">
        <v>14</v>
      </c>
      <c r="S13" s="700">
        <f t="shared" si="0"/>
        <v>100</v>
      </c>
      <c r="T13" s="699" t="s">
        <v>14</v>
      </c>
      <c r="U13" s="700">
        <f t="shared" si="1"/>
        <v>100</v>
      </c>
      <c r="V13" s="699" t="s">
        <v>14</v>
      </c>
      <c r="W13" s="700">
        <f t="shared" si="2"/>
        <v>100</v>
      </c>
      <c r="X13" s="701"/>
      <c r="Y13" s="362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695"/>
      <c r="Q14" s="1341">
        <f t="shared" si="6"/>
        <v>111</v>
      </c>
      <c r="R14" s="699" t="s">
        <v>14</v>
      </c>
      <c r="S14" s="700">
        <f t="shared" si="0"/>
        <v>100</v>
      </c>
      <c r="T14" s="699" t="s">
        <v>14</v>
      </c>
      <c r="U14" s="700">
        <f t="shared" si="1"/>
        <v>100</v>
      </c>
      <c r="V14" s="699" t="s">
        <v>14</v>
      </c>
      <c r="W14" s="700">
        <f t="shared" si="2"/>
        <v>100</v>
      </c>
      <c r="X14" s="701"/>
      <c r="Y14" s="3627"/>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688" t="s">
        <v>1691</v>
      </c>
      <c r="Q15" s="1350" t="str">
        <f t="shared" si="6"/>
        <v>居住社区成熟度</v>
      </c>
      <c r="R15" s="703" t="s">
        <v>14</v>
      </c>
      <c r="S15" s="704">
        <f t="shared" si="0"/>
        <v>100</v>
      </c>
      <c r="T15" s="703" t="s">
        <v>14</v>
      </c>
      <c r="U15" s="704">
        <f t="shared" si="1"/>
        <v>100</v>
      </c>
      <c r="V15" s="703" t="s">
        <v>14</v>
      </c>
      <c r="W15" s="704">
        <f t="shared" si="2"/>
        <v>100</v>
      </c>
      <c r="X15" s="1353"/>
      <c r="Y15" s="368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689"/>
      <c r="Q16" s="1350"/>
      <c r="R16" s="703"/>
      <c r="S16" s="704"/>
      <c r="T16" s="703"/>
      <c r="U16" s="704"/>
      <c r="V16" s="703"/>
      <c r="W16" s="704"/>
      <c r="X16" s="1353"/>
      <c r="Y16" s="368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689"/>
      <c r="Q17" s="1350" t="str">
        <f>B17</f>
        <v>商业繁华度</v>
      </c>
      <c r="R17" s="703" t="s">
        <v>14</v>
      </c>
      <c r="S17" s="704">
        <f>F17</f>
        <v>100</v>
      </c>
      <c r="T17" s="703" t="s">
        <v>14</v>
      </c>
      <c r="U17" s="704">
        <f>H17</f>
        <v>100</v>
      </c>
      <c r="V17" s="703" t="s">
        <v>14</v>
      </c>
      <c r="W17" s="704">
        <f>J17</f>
        <v>100</v>
      </c>
      <c r="X17" s="1353"/>
      <c r="Y17" s="368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689"/>
      <c r="Q18" s="1350"/>
      <c r="R18" s="703"/>
      <c r="S18" s="704"/>
      <c r="T18" s="703"/>
      <c r="U18" s="704"/>
      <c r="V18" s="703"/>
      <c r="W18" s="704"/>
      <c r="X18" s="1353"/>
      <c r="Y18" s="368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689"/>
      <c r="Q19" s="1350" t="str">
        <f>B19</f>
        <v>办公集聚程度</v>
      </c>
      <c r="R19" s="703" t="s">
        <v>14</v>
      </c>
      <c r="S19" s="704">
        <f>F19</f>
        <v>100</v>
      </c>
      <c r="T19" s="703" t="s">
        <v>14</v>
      </c>
      <c r="U19" s="704">
        <f>H19</f>
        <v>100</v>
      </c>
      <c r="V19" s="703" t="s">
        <v>14</v>
      </c>
      <c r="W19" s="704">
        <f>J19</f>
        <v>100</v>
      </c>
      <c r="X19" s="1353"/>
      <c r="Y19" s="368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689"/>
      <c r="Q20" s="1350"/>
      <c r="R20" s="703"/>
      <c r="S20" s="704"/>
      <c r="T20" s="703"/>
      <c r="U20" s="704"/>
      <c r="V20" s="703"/>
      <c r="W20" s="704"/>
      <c r="X20" s="1353"/>
      <c r="Y20" s="368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689"/>
      <c r="Q21" s="1350" t="str">
        <f>B21</f>
        <v>交通便捷度</v>
      </c>
      <c r="R21" s="703" t="s">
        <v>14</v>
      </c>
      <c r="S21" s="704">
        <f>F21</f>
        <v>100</v>
      </c>
      <c r="T21" s="703" t="s">
        <v>14</v>
      </c>
      <c r="U21" s="704">
        <f>H21</f>
        <v>100</v>
      </c>
      <c r="V21" s="703" t="s">
        <v>14</v>
      </c>
      <c r="W21" s="704">
        <f>J21</f>
        <v>100</v>
      </c>
      <c r="X21" s="1353"/>
      <c r="Y21" s="368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9"/>
      <c r="M22" s="2713"/>
      <c r="N22" s="2713"/>
      <c r="O22" s="2771"/>
      <c r="P22" s="3689"/>
      <c r="Q22" s="1350"/>
      <c r="R22" s="703"/>
      <c r="S22" s="704"/>
      <c r="T22" s="703"/>
      <c r="U22" s="704"/>
      <c r="V22" s="703"/>
      <c r="W22" s="704"/>
      <c r="X22" s="1353"/>
      <c r="Y22" s="368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689"/>
      <c r="Q23" s="1350" t="str">
        <f t="shared" ref="Q23:Q37" si="8">B23</f>
        <v>区域土地利用方向</v>
      </c>
      <c r="R23" s="703" t="s">
        <v>14</v>
      </c>
      <c r="S23" s="704">
        <f>F23</f>
        <v>100</v>
      </c>
      <c r="T23" s="703" t="s">
        <v>14</v>
      </c>
      <c r="U23" s="704">
        <f>H23</f>
        <v>100</v>
      </c>
      <c r="V23" s="703" t="s">
        <v>14</v>
      </c>
      <c r="W23" s="704">
        <f>J23</f>
        <v>100</v>
      </c>
      <c r="X23" s="1353"/>
      <c r="Y23" s="368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689"/>
      <c r="Q24" s="1350"/>
      <c r="R24" s="703"/>
      <c r="S24" s="704"/>
      <c r="T24" s="703"/>
      <c r="U24" s="704"/>
      <c r="V24" s="703"/>
      <c r="W24" s="704"/>
      <c r="X24" s="1353"/>
      <c r="Y24" s="368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689"/>
      <c r="Q25" s="1350" t="str">
        <f t="shared" si="8"/>
        <v>自然及人文环境状况</v>
      </c>
      <c r="R25" s="703" t="s">
        <v>14</v>
      </c>
      <c r="S25" s="704">
        <f>F25</f>
        <v>100</v>
      </c>
      <c r="T25" s="703" t="s">
        <v>14</v>
      </c>
      <c r="U25" s="704">
        <f>H25</f>
        <v>100</v>
      </c>
      <c r="V25" s="703" t="s">
        <v>14</v>
      </c>
      <c r="W25" s="704">
        <f>J25</f>
        <v>100</v>
      </c>
      <c r="X25" s="1353"/>
      <c r="Y25" s="368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689"/>
      <c r="Q26" s="1350"/>
      <c r="R26" s="703"/>
      <c r="S26" s="704"/>
      <c r="T26" s="703"/>
      <c r="U26" s="704"/>
      <c r="V26" s="703"/>
      <c r="W26" s="704"/>
      <c r="X26" s="1353"/>
      <c r="Y26" s="3689"/>
      <c r="Z26" s="1354"/>
      <c r="AA26" s="1351">
        <v>1</v>
      </c>
      <c r="AB26" s="1351">
        <v>1</v>
      </c>
      <c r="AC26" s="1351">
        <v>1</v>
      </c>
    </row>
    <row r="27" spans="1:29" s="108" customFormat="1" ht="42.75">
      <c r="A27" s="596"/>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689"/>
      <c r="Q27" s="1341" t="str">
        <f t="shared" si="8"/>
        <v>公共配套设施</v>
      </c>
      <c r="R27" s="699" t="s">
        <v>14</v>
      </c>
      <c r="S27" s="700">
        <f>F27</f>
        <v>100</v>
      </c>
      <c r="T27" s="699" t="s">
        <v>14</v>
      </c>
      <c r="U27" s="700">
        <f>H27</f>
        <v>100</v>
      </c>
      <c r="V27" s="699" t="s">
        <v>14</v>
      </c>
      <c r="W27" s="700">
        <f>J27</f>
        <v>100</v>
      </c>
      <c r="X27" s="701"/>
      <c r="Y27" s="3689"/>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689"/>
      <c r="Q28" s="1341"/>
      <c r="R28" s="699"/>
      <c r="S28" s="700"/>
      <c r="T28" s="699"/>
      <c r="U28" s="700"/>
      <c r="V28" s="699"/>
      <c r="W28" s="700"/>
      <c r="X28" s="701"/>
      <c r="Y28" s="3689"/>
      <c r="Z28" s="52"/>
      <c r="AA28" s="1351">
        <v>1</v>
      </c>
      <c r="AB28" s="1351">
        <v>1</v>
      </c>
      <c r="AC28" s="1351">
        <v>1</v>
      </c>
    </row>
    <row r="29" spans="1:29" s="108" customFormat="1" ht="28.5">
      <c r="A29" s="596"/>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689"/>
      <c r="Q29" s="1341" t="str">
        <f t="shared" ref="Q29" si="9">B29</f>
        <v>基础设施水平</v>
      </c>
      <c r="R29" s="699" t="s">
        <v>14</v>
      </c>
      <c r="S29" s="700">
        <f>F29</f>
        <v>100</v>
      </c>
      <c r="T29" s="699" t="s">
        <v>14</v>
      </c>
      <c r="U29" s="700">
        <f>H29</f>
        <v>100</v>
      </c>
      <c r="V29" s="699" t="s">
        <v>14</v>
      </c>
      <c r="W29" s="700">
        <f>J29</f>
        <v>100</v>
      </c>
      <c r="X29" s="701"/>
      <c r="Y29" s="3689"/>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689"/>
      <c r="Q30" s="1341"/>
      <c r="R30" s="699"/>
      <c r="S30" s="700"/>
      <c r="T30" s="699"/>
      <c r="U30" s="700"/>
      <c r="V30" s="699"/>
      <c r="W30" s="700"/>
      <c r="X30" s="701"/>
      <c r="Y30" s="3689"/>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68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8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689"/>
      <c r="Q32" s="1350" t="str">
        <f t="shared" si="8"/>
        <v>毗邻道路的类型与等级</v>
      </c>
      <c r="R32" s="703" t="s">
        <v>14</v>
      </c>
      <c r="S32" s="704">
        <f t="shared" si="10"/>
        <v>100</v>
      </c>
      <c r="T32" s="703" t="s">
        <v>14</v>
      </c>
      <c r="U32" s="704">
        <f t="shared" si="11"/>
        <v>100</v>
      </c>
      <c r="V32" s="703" t="s">
        <v>14</v>
      </c>
      <c r="W32" s="704">
        <f t="shared" si="12"/>
        <v>100</v>
      </c>
      <c r="X32" s="1353"/>
      <c r="Y32" s="368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89"/>
      <c r="Q33" s="1350"/>
      <c r="R33" s="703"/>
      <c r="S33" s="704"/>
      <c r="T33" s="703"/>
      <c r="U33" s="704"/>
      <c r="V33" s="703"/>
      <c r="W33" s="704"/>
      <c r="X33" s="1353"/>
      <c r="Y33" s="3689"/>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689"/>
      <c r="Q34" s="1350" t="str">
        <f t="shared" si="8"/>
        <v>土地级别</v>
      </c>
      <c r="R34" s="703" t="s">
        <v>14</v>
      </c>
      <c r="S34" s="704">
        <f t="shared" si="10"/>
        <v>100</v>
      </c>
      <c r="T34" s="703" t="s">
        <v>14</v>
      </c>
      <c r="U34" s="704">
        <f t="shared" si="11"/>
        <v>100</v>
      </c>
      <c r="V34" s="703" t="s">
        <v>14</v>
      </c>
      <c r="W34" s="704">
        <f t="shared" si="12"/>
        <v>100</v>
      </c>
      <c r="X34" s="1353"/>
      <c r="Y34" s="3689"/>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689"/>
      <c r="Q35" s="1350">
        <f t="shared" si="8"/>
        <v>111</v>
      </c>
      <c r="R35" s="703" t="s">
        <v>14</v>
      </c>
      <c r="S35" s="704">
        <f t="shared" si="10"/>
        <v>100</v>
      </c>
      <c r="T35" s="703" t="s">
        <v>14</v>
      </c>
      <c r="U35" s="704">
        <f t="shared" si="11"/>
        <v>100</v>
      </c>
      <c r="V35" s="703" t="s">
        <v>14</v>
      </c>
      <c r="W35" s="704">
        <f t="shared" si="12"/>
        <v>100</v>
      </c>
      <c r="X35" s="1353"/>
      <c r="Y35" s="3689"/>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62" t="s">
        <v>1696</v>
      </c>
      <c r="Q36" s="1350">
        <f t="shared" si="8"/>
        <v>111</v>
      </c>
      <c r="R36" s="703" t="s">
        <v>14</v>
      </c>
      <c r="S36" s="704">
        <f t="shared" si="10"/>
        <v>100</v>
      </c>
      <c r="T36" s="703" t="s">
        <v>14</v>
      </c>
      <c r="U36" s="704">
        <f t="shared" si="11"/>
        <v>100</v>
      </c>
      <c r="V36" s="703" t="s">
        <v>14</v>
      </c>
      <c r="W36" s="704">
        <f t="shared" si="12"/>
        <v>100</v>
      </c>
      <c r="X36" s="1353"/>
      <c r="Y36" s="3693"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693"/>
      <c r="Q37" s="1350">
        <f t="shared" si="8"/>
        <v>111</v>
      </c>
      <c r="R37" s="706" t="s">
        <v>14</v>
      </c>
      <c r="S37" s="707">
        <f t="shared" si="10"/>
        <v>100</v>
      </c>
      <c r="T37" s="706" t="s">
        <v>14</v>
      </c>
      <c r="U37" s="707">
        <f t="shared" si="11"/>
        <v>100</v>
      </c>
      <c r="V37" s="706" t="s">
        <v>14</v>
      </c>
      <c r="W37" s="707">
        <f t="shared" si="12"/>
        <v>100</v>
      </c>
      <c r="X37" s="708"/>
      <c r="Y37" s="3693"/>
      <c r="Z37" s="709">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693"/>
      <c r="Q38" s="1350" t="str">
        <f>B38</f>
        <v>宗地面积</v>
      </c>
      <c r="R38" s="703" t="s">
        <v>14</v>
      </c>
      <c r="S38" s="704" t="e">
        <f t="shared" si="10"/>
        <v>#N/A</v>
      </c>
      <c r="T38" s="703" t="s">
        <v>14</v>
      </c>
      <c r="U38" s="704" t="e">
        <f t="shared" si="11"/>
        <v>#N/A</v>
      </c>
      <c r="V38" s="703" t="s">
        <v>14</v>
      </c>
      <c r="W38" s="704" t="e">
        <f t="shared" si="12"/>
        <v>#N/A</v>
      </c>
      <c r="X38" s="1353"/>
      <c r="Y38" s="369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693"/>
      <c r="Q39" s="1350" t="str">
        <f t="shared" ref="Q39:Q45" si="14">B39</f>
        <v>宗地形状</v>
      </c>
      <c r="R39" s="703" t="s">
        <v>14</v>
      </c>
      <c r="S39" s="704">
        <f t="shared" si="10"/>
        <v>100</v>
      </c>
      <c r="T39" s="703" t="s">
        <v>14</v>
      </c>
      <c r="U39" s="704">
        <f t="shared" si="11"/>
        <v>100</v>
      </c>
      <c r="V39" s="703" t="s">
        <v>14</v>
      </c>
      <c r="W39" s="704">
        <f t="shared" si="12"/>
        <v>100</v>
      </c>
      <c r="X39" s="1353"/>
      <c r="Y39" s="369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693"/>
      <c r="Q40" s="1350" t="str">
        <f t="shared" si="14"/>
        <v>临街宽度及深度</v>
      </c>
      <c r="R40" s="703" t="s">
        <v>14</v>
      </c>
      <c r="S40" s="704">
        <f t="shared" si="10"/>
        <v>100</v>
      </c>
      <c r="T40" s="703" t="s">
        <v>14</v>
      </c>
      <c r="U40" s="704">
        <f t="shared" si="11"/>
        <v>100</v>
      </c>
      <c r="V40" s="703" t="s">
        <v>14</v>
      </c>
      <c r="W40" s="704">
        <f t="shared" si="12"/>
        <v>100</v>
      </c>
      <c r="X40" s="1353"/>
      <c r="Y40" s="369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693"/>
      <c r="Q41" s="1350" t="str">
        <f t="shared" si="14"/>
        <v>宗地开发程度</v>
      </c>
      <c r="R41" s="699" t="s">
        <v>14</v>
      </c>
      <c r="S41" s="700">
        <f t="shared" si="10"/>
        <v>100</v>
      </c>
      <c r="T41" s="699" t="s">
        <v>14</v>
      </c>
      <c r="U41" s="700">
        <f t="shared" si="11"/>
        <v>100</v>
      </c>
      <c r="V41" s="699" t="s">
        <v>14</v>
      </c>
      <c r="W41" s="700">
        <f t="shared" si="12"/>
        <v>100</v>
      </c>
      <c r="X41" s="701"/>
      <c r="Y41" s="369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693" t="s">
        <v>1696</v>
      </c>
      <c r="Q42" s="1350" t="str">
        <f t="shared" si="14"/>
        <v>工程地质条件</v>
      </c>
      <c r="R42" s="703" t="s">
        <v>14</v>
      </c>
      <c r="S42" s="704">
        <f t="shared" si="10"/>
        <v>100</v>
      </c>
      <c r="T42" s="703" t="s">
        <v>14</v>
      </c>
      <c r="U42" s="704">
        <f t="shared" si="11"/>
        <v>100</v>
      </c>
      <c r="V42" s="703" t="s">
        <v>14</v>
      </c>
      <c r="W42" s="704">
        <f t="shared" si="12"/>
        <v>100</v>
      </c>
      <c r="X42" s="1353"/>
      <c r="Y42" s="3693"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693"/>
      <c r="Q43" s="1350">
        <f t="shared" si="14"/>
        <v>111</v>
      </c>
      <c r="R43" s="703" t="s">
        <v>14</v>
      </c>
      <c r="S43" s="704">
        <f t="shared" si="10"/>
        <v>100</v>
      </c>
      <c r="T43" s="703" t="s">
        <v>14</v>
      </c>
      <c r="U43" s="704">
        <f t="shared" si="11"/>
        <v>100</v>
      </c>
      <c r="V43" s="703" t="s">
        <v>14</v>
      </c>
      <c r="W43" s="704">
        <f t="shared" si="12"/>
        <v>100</v>
      </c>
      <c r="X43" s="1353"/>
      <c r="Y43" s="3693"/>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693"/>
      <c r="Q44" s="1350">
        <f t="shared" si="14"/>
        <v>111</v>
      </c>
      <c r="R44" s="703" t="s">
        <v>14</v>
      </c>
      <c r="S44" s="704">
        <f t="shared" si="10"/>
        <v>100</v>
      </c>
      <c r="T44" s="703" t="s">
        <v>14</v>
      </c>
      <c r="U44" s="704">
        <f t="shared" si="11"/>
        <v>100</v>
      </c>
      <c r="V44" s="703" t="s">
        <v>14</v>
      </c>
      <c r="W44" s="704">
        <f t="shared" si="12"/>
        <v>100</v>
      </c>
      <c r="X44" s="1353"/>
      <c r="Y44" s="3693"/>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693"/>
      <c r="Q45" s="1350">
        <f t="shared" si="14"/>
        <v>111</v>
      </c>
      <c r="R45" s="706" t="s">
        <v>14</v>
      </c>
      <c r="S45" s="707">
        <f t="shared" si="10"/>
        <v>100</v>
      </c>
      <c r="T45" s="706" t="s">
        <v>14</v>
      </c>
      <c r="U45" s="707">
        <f t="shared" si="11"/>
        <v>100</v>
      </c>
      <c r="V45" s="706" t="s">
        <v>14</v>
      </c>
      <c r="W45" s="707">
        <f t="shared" si="12"/>
        <v>100</v>
      </c>
      <c r="X45" s="708"/>
      <c r="Y45" s="3693"/>
      <c r="Z45" s="709">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2"/>
      <c r="L46" s="2721"/>
      <c r="M46" s="2722"/>
      <c r="N46" s="2713"/>
      <c r="O46" s="2722"/>
      <c r="P46" s="3695" t="str">
        <f>A46</f>
        <v>成交单价</v>
      </c>
      <c r="Q46" s="3695"/>
      <c r="R46" s="3657">
        <f>E46</f>
        <v>0</v>
      </c>
      <c r="S46" s="3657"/>
      <c r="T46" s="3657">
        <f>G46</f>
        <v>0</v>
      </c>
      <c r="U46" s="3657"/>
      <c r="V46" s="3657">
        <f>I46</f>
        <v>0</v>
      </c>
      <c r="W46" s="3657"/>
      <c r="X46" s="688"/>
      <c r="Y46" s="710"/>
      <c r="Z46" s="688"/>
      <c r="AA46" s="688"/>
      <c r="AB46" s="688"/>
      <c r="AC46" s="688"/>
    </row>
    <row r="47" spans="1:29" ht="15.75" thickBot="1">
      <c r="A47" s="437" t="s">
        <v>1793</v>
      </c>
      <c r="B47" s="630"/>
      <c r="C47" s="440" t="e">
        <f>R48</f>
        <v>#DIV/0!</v>
      </c>
      <c r="D47" s="2315" t="s">
        <v>2135</v>
      </c>
      <c r="E47" s="440" t="e">
        <f>R47</f>
        <v>#DIV/0!</v>
      </c>
      <c r="F47" s="2316"/>
      <c r="G47" s="439" t="e">
        <f>T47</f>
        <v>#DIV/0!</v>
      </c>
      <c r="H47" s="2316"/>
      <c r="I47" s="440" t="e">
        <f>V47</f>
        <v>#DIV/0!</v>
      </c>
      <c r="J47" s="2316"/>
      <c r="K47" s="2318">
        <f>F47+H47+J47</f>
        <v>0</v>
      </c>
      <c r="L47" s="2721"/>
      <c r="M47" s="2722"/>
      <c r="N47" s="2722"/>
      <c r="O47" s="2722"/>
      <c r="P47" s="3695" t="str">
        <f>A47</f>
        <v>比较价值（元/平方米）</v>
      </c>
      <c r="Q47" s="3695"/>
      <c r="R47" s="3764" t="e">
        <f>ROUND(PRODUCT(R46,AA7:AA45),0)</f>
        <v>#DIV/0!</v>
      </c>
      <c r="S47" s="3764"/>
      <c r="T47" s="3764" t="e">
        <f>ROUND(PRODUCT(T46,AB7:AB45),0)</f>
        <v>#DIV/0!</v>
      </c>
      <c r="U47" s="3764"/>
      <c r="V47" s="3764" t="e">
        <f>ROUND(PRODUCT(V46,AC7:AC45),0)</f>
        <v>#DIV/0!</v>
      </c>
      <c r="W47" s="376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97" t="str">
        <f>A48</f>
        <v>估价对象XX用房的比较价值（楼面单价，元/平方米）</v>
      </c>
      <c r="Q48" s="3698"/>
      <c r="R48" s="3765" t="e">
        <f>ROUND(IF(D47="简单平均",AVERAGE(R47:W47),R47*F47+T47*H47+V47*J47),0)</f>
        <v>#DIV/0!</v>
      </c>
      <c r="S48" s="3765"/>
      <c r="T48" s="3765"/>
      <c r="U48" s="3765"/>
      <c r="V48" s="3765"/>
      <c r="W48" s="3765"/>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673" t="s">
        <v>1887</v>
      </c>
      <c r="H55" s="3766"/>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554.57000000000005</v>
      </c>
      <c r="F56" s="884" t="e">
        <f t="shared" ref="F56:F64" si="15">ROUND(B56*E56/10000,0)</f>
        <v>#DIV/0!</v>
      </c>
      <c r="G56" s="3672"/>
      <c r="H56" s="3695"/>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t="e">
        <f>ROUND($C$48*C57*D57,0)</f>
        <v>#DIV/0!</v>
      </c>
      <c r="C57" s="171">
        <f t="shared" ref="C57:C64" si="16">IF($C$55="北京市系数",I57,J57)</f>
        <v>0.6</v>
      </c>
      <c r="D57" s="943">
        <v>0.25</v>
      </c>
      <c r="E57" s="641"/>
      <c r="F57" s="884" t="e">
        <f t="shared" si="15"/>
        <v>#DIV/0!</v>
      </c>
      <c r="G57" s="3003" t="s">
        <v>1892</v>
      </c>
      <c r="H57" s="885" t="str">
        <f>项目基本情况!B37</f>
        <v>七级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t="e">
        <f t="shared" ref="B58:B64" si="17">ROUND($C$48*C58*D58,0)</f>
        <v>#DIV/0!</v>
      </c>
      <c r="C58" s="171">
        <f t="shared" si="16"/>
        <v>0.3</v>
      </c>
      <c r="D58" s="943">
        <v>0.25</v>
      </c>
      <c r="E58" s="641"/>
      <c r="F58" s="884" t="e">
        <f t="shared" si="15"/>
        <v>#DIV/0!</v>
      </c>
      <c r="G58" s="3004"/>
      <c r="H58" s="885" t="str">
        <f>项目基本情况!B37</f>
        <v>七级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t="e">
        <f t="shared" si="17"/>
        <v>#DIV/0!</v>
      </c>
      <c r="C59" s="171">
        <f t="shared" si="16"/>
        <v>0.25</v>
      </c>
      <c r="D59" s="943">
        <v>0.25</v>
      </c>
      <c r="E59" s="641"/>
      <c r="F59" s="884" t="e">
        <f t="shared" si="15"/>
        <v>#DIV/0!</v>
      </c>
      <c r="G59" s="3004"/>
      <c r="H59" s="885" t="str">
        <f>项目基本情况!B37</f>
        <v>七级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t="e">
        <f t="shared" si="17"/>
        <v>#DIV/0!</v>
      </c>
      <c r="C63" s="171">
        <f t="shared" si="16"/>
        <v>0.15</v>
      </c>
      <c r="D63" s="943">
        <v>0.25</v>
      </c>
      <c r="E63" s="217">
        <f>'数据-汇总表'!E14</f>
        <v>0</v>
      </c>
      <c r="F63" s="884" t="e">
        <f t="shared" si="15"/>
        <v>#DIV/0!</v>
      </c>
      <c r="G63" s="1985" t="s">
        <v>1892</v>
      </c>
      <c r="H63" s="885" t="str">
        <f>项目基本情况!B37</f>
        <v>七级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554.57000000000005</v>
      </c>
      <c r="F65" s="644"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2"/>
      <c r="M4" s="2713"/>
      <c r="N4" s="2713"/>
      <c r="O4" s="2713"/>
      <c r="P4" s="3677" t="s">
        <v>1775</v>
      </c>
      <c r="Q4" s="3678"/>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746" t="s">
        <v>1673</v>
      </c>
      <c r="D5" s="3667"/>
      <c r="E5" s="3745" t="s">
        <v>1674</v>
      </c>
      <c r="F5" s="3665"/>
      <c r="G5" s="3746" t="s">
        <v>1675</v>
      </c>
      <c r="H5" s="3667"/>
      <c r="I5" s="3746" t="s">
        <v>1676</v>
      </c>
      <c r="J5" s="3667"/>
      <c r="K5" s="559"/>
      <c r="L5" s="2712"/>
      <c r="M5" s="2713"/>
      <c r="N5" s="2713"/>
      <c r="O5" s="2713"/>
      <c r="P5" s="3679"/>
      <c r="Q5" s="3680"/>
      <c r="R5" s="3662"/>
      <c r="S5" s="3663"/>
      <c r="T5" s="3662"/>
      <c r="U5" s="3663"/>
      <c r="V5" s="3657"/>
      <c r="W5" s="3657"/>
      <c r="X5" s="1353"/>
      <c r="Y5" s="3662"/>
      <c r="Z5" s="3663"/>
      <c r="AA5" s="3655"/>
      <c r="AB5" s="3655"/>
      <c r="AC5" s="3655"/>
    </row>
    <row r="6" spans="1:29" ht="15.75" thickBot="1">
      <c r="A6" s="360"/>
      <c r="B6" s="361"/>
      <c r="C6" s="3767" t="s">
        <v>1919</v>
      </c>
      <c r="D6" s="3768"/>
      <c r="E6" s="3769" t="s">
        <v>1919</v>
      </c>
      <c r="F6" s="3770"/>
      <c r="G6" s="3767" t="s">
        <v>1919</v>
      </c>
      <c r="H6" s="3768"/>
      <c r="I6" s="3767" t="s">
        <v>1919</v>
      </c>
      <c r="J6" s="3768"/>
      <c r="K6" s="559" t="s">
        <v>1678</v>
      </c>
      <c r="L6" s="2712"/>
      <c r="M6" s="2713"/>
      <c r="N6" s="2713"/>
      <c r="O6" s="2713"/>
      <c r="P6" s="3681"/>
      <c r="Q6" s="3682"/>
      <c r="R6" s="3662"/>
      <c r="S6" s="3663"/>
      <c r="T6" s="3683"/>
      <c r="U6" s="3684"/>
      <c r="V6" s="3657"/>
      <c r="W6" s="3657"/>
      <c r="X6" s="1353"/>
      <c r="Y6" s="3683"/>
      <c r="Z6" s="3684"/>
      <c r="AA6" s="3656"/>
      <c r="AB6" s="3656"/>
      <c r="AC6" s="3656"/>
    </row>
    <row r="7" spans="1:29" s="108" customFormat="1" ht="15.75" thickBot="1">
      <c r="A7" s="362" t="s">
        <v>1679</v>
      </c>
      <c r="B7" s="363"/>
      <c r="C7" s="364">
        <f>'数据-取费表'!B2</f>
        <v>45085</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58" t="s">
        <v>1680</v>
      </c>
      <c r="Q7" s="3685"/>
      <c r="R7" s="699" t="s">
        <v>14</v>
      </c>
      <c r="S7" s="700">
        <f t="shared" ref="S7:S15" si="0">F7</f>
        <v>0</v>
      </c>
      <c r="T7" s="699" t="s">
        <v>14</v>
      </c>
      <c r="U7" s="700">
        <f t="shared" ref="U7:U15" si="1">H7</f>
        <v>0</v>
      </c>
      <c r="V7" s="699" t="s">
        <v>14</v>
      </c>
      <c r="W7" s="700">
        <f t="shared" ref="W7:W15" si="2">J7</f>
        <v>0</v>
      </c>
      <c r="X7" s="701"/>
      <c r="Y7" s="3658" t="s">
        <v>1680</v>
      </c>
      <c r="Z7" s="3659"/>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58" t="s">
        <v>1683</v>
      </c>
      <c r="Q8" s="3659"/>
      <c r="R8" s="699" t="s">
        <v>14</v>
      </c>
      <c r="S8" s="700">
        <f t="shared" si="0"/>
        <v>0</v>
      </c>
      <c r="T8" s="699" t="s">
        <v>14</v>
      </c>
      <c r="U8" s="700">
        <f t="shared" si="1"/>
        <v>0</v>
      </c>
      <c r="V8" s="699" t="s">
        <v>14</v>
      </c>
      <c r="W8" s="700">
        <f t="shared" si="2"/>
        <v>0</v>
      </c>
      <c r="X8" s="701"/>
      <c r="Y8" s="3658" t="s">
        <v>1683</v>
      </c>
      <c r="Z8" s="3659"/>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95" t="s">
        <v>1686</v>
      </c>
      <c r="Q9" s="1341" t="str">
        <f t="shared" ref="Q9:Q15" si="6">B9</f>
        <v>用途</v>
      </c>
      <c r="R9" s="699" t="s">
        <v>14</v>
      </c>
      <c r="S9" s="700">
        <f t="shared" si="0"/>
        <v>100</v>
      </c>
      <c r="T9" s="699" t="s">
        <v>14</v>
      </c>
      <c r="U9" s="700">
        <f t="shared" si="1"/>
        <v>100</v>
      </c>
      <c r="V9" s="699" t="s">
        <v>14</v>
      </c>
      <c r="W9" s="700">
        <f t="shared" si="2"/>
        <v>100</v>
      </c>
      <c r="X9" s="701"/>
      <c r="Y9" s="362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19"/>
      <c r="L10" s="2716"/>
      <c r="M10" s="2717"/>
      <c r="N10" s="2717"/>
      <c r="O10" s="2770"/>
      <c r="P10" s="3695"/>
      <c r="Q10" s="1341" t="str">
        <f t="shared" si="6"/>
        <v>土地使用年限（年）</v>
      </c>
      <c r="R10" s="699" t="s">
        <v>14</v>
      </c>
      <c r="S10" s="700">
        <f t="shared" si="0"/>
        <v>117</v>
      </c>
      <c r="T10" s="699" t="s">
        <v>14</v>
      </c>
      <c r="U10" s="700">
        <f t="shared" si="1"/>
        <v>117</v>
      </c>
      <c r="V10" s="699" t="s">
        <v>14</v>
      </c>
      <c r="W10" s="700">
        <f t="shared" si="2"/>
        <v>117</v>
      </c>
      <c r="X10" s="701"/>
      <c r="Y10" s="3627"/>
      <c r="Z10" s="52" t="str">
        <f t="shared" si="7"/>
        <v>土地使用年限（年）</v>
      </c>
      <c r="AA10" s="702">
        <f t="shared" si="3"/>
        <v>0.85470085470085466</v>
      </c>
      <c r="AB10" s="702">
        <f t="shared" si="4"/>
        <v>0.85470085470085466</v>
      </c>
      <c r="AC10" s="702">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695"/>
      <c r="Q11" s="1341" t="str">
        <f t="shared" si="6"/>
        <v>容积率</v>
      </c>
      <c r="R11" s="699" t="s">
        <v>14</v>
      </c>
      <c r="S11" s="700" t="e">
        <f t="shared" si="0"/>
        <v>#N/A</v>
      </c>
      <c r="T11" s="699" t="s">
        <v>14</v>
      </c>
      <c r="U11" s="700" t="e">
        <f t="shared" si="1"/>
        <v>#N/A</v>
      </c>
      <c r="V11" s="699" t="s">
        <v>14</v>
      </c>
      <c r="W11" s="700" t="e">
        <f t="shared" si="2"/>
        <v>#N/A</v>
      </c>
      <c r="X11" s="701"/>
      <c r="Y11" s="362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69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69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695"/>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702">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688" t="s">
        <v>1691</v>
      </c>
      <c r="Q15" s="1350" t="str">
        <f t="shared" si="6"/>
        <v>产业集聚程度</v>
      </c>
      <c r="R15" s="703" t="s">
        <v>14</v>
      </c>
      <c r="S15" s="704">
        <f t="shared" si="0"/>
        <v>100</v>
      </c>
      <c r="T15" s="703" t="s">
        <v>14</v>
      </c>
      <c r="U15" s="704">
        <f t="shared" si="1"/>
        <v>100</v>
      </c>
      <c r="V15" s="703" t="s">
        <v>14</v>
      </c>
      <c r="W15" s="704">
        <f t="shared" si="2"/>
        <v>100</v>
      </c>
      <c r="X15" s="1353"/>
      <c r="Y15" s="3688"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689"/>
      <c r="Q16" s="1350"/>
      <c r="R16" s="703"/>
      <c r="S16" s="704"/>
      <c r="T16" s="703"/>
      <c r="U16" s="704"/>
      <c r="V16" s="703"/>
      <c r="W16" s="704"/>
      <c r="X16" s="1353"/>
      <c r="Y16" s="3689"/>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689"/>
      <c r="Q17" s="1350" t="str">
        <f>B17</f>
        <v>交通便捷度</v>
      </c>
      <c r="R17" s="703" t="s">
        <v>14</v>
      </c>
      <c r="S17" s="704">
        <f>F17</f>
        <v>100</v>
      </c>
      <c r="T17" s="703" t="s">
        <v>14</v>
      </c>
      <c r="U17" s="704">
        <f>H17</f>
        <v>100</v>
      </c>
      <c r="V17" s="703" t="s">
        <v>14</v>
      </c>
      <c r="W17" s="704">
        <f>J17</f>
        <v>100</v>
      </c>
      <c r="X17" s="1353"/>
      <c r="Y17" s="3689"/>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689"/>
      <c r="Q18" s="1350"/>
      <c r="R18" s="703"/>
      <c r="S18" s="704"/>
      <c r="T18" s="703"/>
      <c r="U18" s="704"/>
      <c r="V18" s="703"/>
      <c r="W18" s="704"/>
      <c r="X18" s="1353"/>
      <c r="Y18" s="3689"/>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689"/>
      <c r="Q19" s="1350" t="str">
        <f t="shared" ref="Q19:Q33" si="8">B19</f>
        <v>区域土地利用方向</v>
      </c>
      <c r="R19" s="703" t="s">
        <v>14</v>
      </c>
      <c r="S19" s="704">
        <f>F19</f>
        <v>100</v>
      </c>
      <c r="T19" s="703" t="s">
        <v>14</v>
      </c>
      <c r="U19" s="704">
        <f>H19</f>
        <v>100</v>
      </c>
      <c r="V19" s="703" t="s">
        <v>14</v>
      </c>
      <c r="W19" s="704">
        <f>J19</f>
        <v>100</v>
      </c>
      <c r="X19" s="1353"/>
      <c r="Y19" s="3689"/>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9"/>
      <c r="M20" s="2713"/>
      <c r="N20" s="2713"/>
      <c r="O20" s="2771"/>
      <c r="P20" s="3689"/>
      <c r="Q20" s="1350"/>
      <c r="R20" s="703"/>
      <c r="S20" s="704"/>
      <c r="T20" s="703"/>
      <c r="U20" s="704"/>
      <c r="V20" s="703"/>
      <c r="W20" s="704"/>
      <c r="X20" s="1353"/>
      <c r="Y20" s="3689"/>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689"/>
      <c r="Q21" s="1350" t="str">
        <f t="shared" si="8"/>
        <v>环境状况</v>
      </c>
      <c r="R21" s="703" t="s">
        <v>14</v>
      </c>
      <c r="S21" s="704">
        <f>F21</f>
        <v>100</v>
      </c>
      <c r="T21" s="703" t="s">
        <v>14</v>
      </c>
      <c r="U21" s="704">
        <f>H21</f>
        <v>100</v>
      </c>
      <c r="V21" s="703" t="s">
        <v>14</v>
      </c>
      <c r="W21" s="704">
        <f>J21</f>
        <v>100</v>
      </c>
      <c r="X21" s="1353"/>
      <c r="Y21" s="3689"/>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689"/>
      <c r="Q22" s="1350"/>
      <c r="R22" s="703"/>
      <c r="S22" s="704"/>
      <c r="T22" s="703"/>
      <c r="U22" s="704"/>
      <c r="V22" s="703"/>
      <c r="W22" s="704"/>
      <c r="X22" s="1353"/>
      <c r="Y22" s="3689"/>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689"/>
      <c r="Q23" s="1341" t="str">
        <f t="shared" si="8"/>
        <v>公共配套设施</v>
      </c>
      <c r="R23" s="699" t="s">
        <v>14</v>
      </c>
      <c r="S23" s="700">
        <f>F23</f>
        <v>100</v>
      </c>
      <c r="T23" s="699" t="s">
        <v>14</v>
      </c>
      <c r="U23" s="700">
        <f>H23</f>
        <v>100</v>
      </c>
      <c r="V23" s="699" t="s">
        <v>14</v>
      </c>
      <c r="W23" s="700">
        <f>J23</f>
        <v>100</v>
      </c>
      <c r="X23" s="701"/>
      <c r="Y23" s="3689"/>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689"/>
      <c r="Q24" s="1341"/>
      <c r="R24" s="699"/>
      <c r="S24" s="700"/>
      <c r="T24" s="699"/>
      <c r="U24" s="700"/>
      <c r="V24" s="699"/>
      <c r="W24" s="700"/>
      <c r="X24" s="701"/>
      <c r="Y24" s="3689"/>
      <c r="Z24" s="52"/>
      <c r="AA24" s="702">
        <v>1</v>
      </c>
      <c r="AB24" s="702">
        <v>1</v>
      </c>
      <c r="AC24" s="702">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689"/>
      <c r="Q25" s="1341" t="str">
        <f t="shared" ref="Q25" si="9">B25</f>
        <v>基础设施水平</v>
      </c>
      <c r="R25" s="699" t="s">
        <v>14</v>
      </c>
      <c r="S25" s="700">
        <f>F25</f>
        <v>100</v>
      </c>
      <c r="T25" s="699" t="s">
        <v>14</v>
      </c>
      <c r="U25" s="700">
        <f>H25</f>
        <v>100</v>
      </c>
      <c r="V25" s="699" t="s">
        <v>14</v>
      </c>
      <c r="W25" s="700">
        <f>J25</f>
        <v>100</v>
      </c>
      <c r="X25" s="701"/>
      <c r="Y25" s="3689"/>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689"/>
      <c r="Q26" s="1341"/>
      <c r="R26" s="699"/>
      <c r="S26" s="700"/>
      <c r="T26" s="699"/>
      <c r="U26" s="700"/>
      <c r="V26" s="699"/>
      <c r="W26" s="700"/>
      <c r="X26" s="701"/>
      <c r="Y26" s="3689"/>
      <c r="Z26" s="52"/>
      <c r="AA26" s="702">
        <v>1</v>
      </c>
      <c r="AB26" s="702">
        <v>1</v>
      </c>
      <c r="AC26" s="702">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68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89"/>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689"/>
      <c r="Q28" s="1350" t="str">
        <f t="shared" si="8"/>
        <v>毗邻道路的类型与等级</v>
      </c>
      <c r="R28" s="703" t="s">
        <v>14</v>
      </c>
      <c r="S28" s="704">
        <f t="shared" si="10"/>
        <v>100</v>
      </c>
      <c r="T28" s="703" t="s">
        <v>14</v>
      </c>
      <c r="U28" s="704">
        <f t="shared" si="11"/>
        <v>100</v>
      </c>
      <c r="V28" s="703" t="s">
        <v>14</v>
      </c>
      <c r="W28" s="704">
        <f t="shared" si="12"/>
        <v>100</v>
      </c>
      <c r="X28" s="1353"/>
      <c r="Y28" s="3689"/>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689"/>
      <c r="Q29" s="1350"/>
      <c r="R29" s="703"/>
      <c r="S29" s="704"/>
      <c r="T29" s="703"/>
      <c r="U29" s="704"/>
      <c r="V29" s="703"/>
      <c r="W29" s="704"/>
      <c r="X29" s="1353"/>
      <c r="Y29" s="3689"/>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689"/>
      <c r="Q30" s="1350" t="str">
        <f t="shared" si="8"/>
        <v>土地级别</v>
      </c>
      <c r="R30" s="703" t="s">
        <v>14</v>
      </c>
      <c r="S30" s="704">
        <f t="shared" si="10"/>
        <v>100</v>
      </c>
      <c r="T30" s="703" t="s">
        <v>14</v>
      </c>
      <c r="U30" s="704">
        <f t="shared" si="11"/>
        <v>100</v>
      </c>
      <c r="V30" s="703" t="s">
        <v>14</v>
      </c>
      <c r="W30" s="704">
        <f t="shared" si="12"/>
        <v>100</v>
      </c>
      <c r="X30" s="1353"/>
      <c r="Y30" s="3689"/>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9"/>
      <c r="Q31" s="1350">
        <f t="shared" si="8"/>
        <v>111</v>
      </c>
      <c r="R31" s="703" t="s">
        <v>14</v>
      </c>
      <c r="S31" s="704">
        <f t="shared" si="10"/>
        <v>100</v>
      </c>
      <c r="T31" s="703" t="s">
        <v>14</v>
      </c>
      <c r="U31" s="704">
        <f t="shared" si="11"/>
        <v>100</v>
      </c>
      <c r="V31" s="703" t="s">
        <v>14</v>
      </c>
      <c r="W31" s="704">
        <f t="shared" si="12"/>
        <v>100</v>
      </c>
      <c r="X31" s="1353"/>
      <c r="Y31" s="3689"/>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62" t="s">
        <v>1696</v>
      </c>
      <c r="Q32" s="1350">
        <f t="shared" si="8"/>
        <v>111</v>
      </c>
      <c r="R32" s="703" t="s">
        <v>14</v>
      </c>
      <c r="S32" s="704">
        <f t="shared" si="10"/>
        <v>100</v>
      </c>
      <c r="T32" s="703" t="s">
        <v>14</v>
      </c>
      <c r="U32" s="704">
        <f t="shared" si="11"/>
        <v>100</v>
      </c>
      <c r="V32" s="703" t="s">
        <v>14</v>
      </c>
      <c r="W32" s="704">
        <f t="shared" si="12"/>
        <v>100</v>
      </c>
      <c r="X32" s="1353"/>
      <c r="Y32" s="3693"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693"/>
      <c r="Q33" s="1350">
        <f t="shared" si="8"/>
        <v>111</v>
      </c>
      <c r="R33" s="706" t="s">
        <v>14</v>
      </c>
      <c r="S33" s="707">
        <f t="shared" si="10"/>
        <v>100</v>
      </c>
      <c r="T33" s="706" t="s">
        <v>14</v>
      </c>
      <c r="U33" s="707">
        <f t="shared" si="11"/>
        <v>100</v>
      </c>
      <c r="V33" s="706" t="s">
        <v>14</v>
      </c>
      <c r="W33" s="707">
        <f t="shared" si="12"/>
        <v>100</v>
      </c>
      <c r="X33" s="708"/>
      <c r="Y33" s="3693"/>
      <c r="Z33" s="709">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693"/>
      <c r="Q34" s="1350" t="str">
        <f>B34</f>
        <v>宗地面积</v>
      </c>
      <c r="R34" s="703" t="s">
        <v>14</v>
      </c>
      <c r="S34" s="704" t="e">
        <f t="shared" si="10"/>
        <v>#N/A</v>
      </c>
      <c r="T34" s="703" t="s">
        <v>14</v>
      </c>
      <c r="U34" s="704" t="e">
        <f t="shared" si="11"/>
        <v>#N/A</v>
      </c>
      <c r="V34" s="703" t="s">
        <v>14</v>
      </c>
      <c r="W34" s="704" t="e">
        <f t="shared" si="12"/>
        <v>#N/A</v>
      </c>
      <c r="X34" s="1353"/>
      <c r="Y34" s="369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693"/>
      <c r="Q35" s="1350" t="str">
        <f t="shared" ref="Q35:Q40" si="14">B35</f>
        <v>宗地形状</v>
      </c>
      <c r="R35" s="703" t="s">
        <v>14</v>
      </c>
      <c r="S35" s="704">
        <f t="shared" si="10"/>
        <v>100</v>
      </c>
      <c r="T35" s="703" t="s">
        <v>14</v>
      </c>
      <c r="U35" s="704">
        <f t="shared" si="11"/>
        <v>100</v>
      </c>
      <c r="V35" s="703" t="s">
        <v>14</v>
      </c>
      <c r="W35" s="704">
        <f t="shared" si="12"/>
        <v>100</v>
      </c>
      <c r="X35" s="1353"/>
      <c r="Y35" s="369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693"/>
      <c r="Q36" s="1350" t="str">
        <f t="shared" si="14"/>
        <v>宗地开发程度</v>
      </c>
      <c r="R36" s="699" t="s">
        <v>14</v>
      </c>
      <c r="S36" s="700">
        <f t="shared" si="10"/>
        <v>100</v>
      </c>
      <c r="T36" s="699" t="s">
        <v>14</v>
      </c>
      <c r="U36" s="700">
        <f t="shared" si="11"/>
        <v>100</v>
      </c>
      <c r="V36" s="699" t="s">
        <v>14</v>
      </c>
      <c r="W36" s="700">
        <f t="shared" si="12"/>
        <v>100</v>
      </c>
      <c r="X36" s="701"/>
      <c r="Y36" s="369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693" t="s">
        <v>1696</v>
      </c>
      <c r="Q37" s="1350" t="str">
        <f t="shared" si="14"/>
        <v>工程地质条件</v>
      </c>
      <c r="R37" s="703" t="s">
        <v>14</v>
      </c>
      <c r="S37" s="704">
        <f t="shared" si="10"/>
        <v>100</v>
      </c>
      <c r="T37" s="703" t="s">
        <v>14</v>
      </c>
      <c r="U37" s="704">
        <f t="shared" si="11"/>
        <v>100</v>
      </c>
      <c r="V37" s="703" t="s">
        <v>14</v>
      </c>
      <c r="W37" s="704">
        <f t="shared" si="12"/>
        <v>100</v>
      </c>
      <c r="X37" s="1353"/>
      <c r="Y37" s="3693"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693"/>
      <c r="Q38" s="1350">
        <f t="shared" si="14"/>
        <v>111</v>
      </c>
      <c r="R38" s="703" t="s">
        <v>14</v>
      </c>
      <c r="S38" s="704">
        <f t="shared" si="10"/>
        <v>100</v>
      </c>
      <c r="T38" s="703" t="s">
        <v>14</v>
      </c>
      <c r="U38" s="704">
        <f t="shared" si="11"/>
        <v>100</v>
      </c>
      <c r="V38" s="703" t="s">
        <v>14</v>
      </c>
      <c r="W38" s="704">
        <f t="shared" si="12"/>
        <v>100</v>
      </c>
      <c r="X38" s="1353"/>
      <c r="Y38" s="3693"/>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693"/>
      <c r="Q39" s="1350">
        <f t="shared" si="14"/>
        <v>111</v>
      </c>
      <c r="R39" s="703" t="s">
        <v>14</v>
      </c>
      <c r="S39" s="704">
        <f t="shared" si="10"/>
        <v>100</v>
      </c>
      <c r="T39" s="703" t="s">
        <v>14</v>
      </c>
      <c r="U39" s="704">
        <f t="shared" si="11"/>
        <v>100</v>
      </c>
      <c r="V39" s="703" t="s">
        <v>14</v>
      </c>
      <c r="W39" s="704">
        <f t="shared" si="12"/>
        <v>100</v>
      </c>
      <c r="X39" s="1353"/>
      <c r="Y39" s="3693"/>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693"/>
      <c r="Q40" s="1350">
        <f t="shared" si="14"/>
        <v>111</v>
      </c>
      <c r="R40" s="706" t="s">
        <v>14</v>
      </c>
      <c r="S40" s="707">
        <f t="shared" si="10"/>
        <v>100</v>
      </c>
      <c r="T40" s="706" t="s">
        <v>14</v>
      </c>
      <c r="U40" s="707">
        <f t="shared" si="11"/>
        <v>100</v>
      </c>
      <c r="V40" s="706" t="s">
        <v>14</v>
      </c>
      <c r="W40" s="707">
        <f t="shared" si="12"/>
        <v>100</v>
      </c>
      <c r="X40" s="708"/>
      <c r="Y40" s="3693"/>
      <c r="Z40" s="709">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2"/>
      <c r="L41" s="2721"/>
      <c r="M41" s="2713"/>
      <c r="N41" s="2713"/>
      <c r="O41" s="2722"/>
      <c r="P41" s="3695" t="str">
        <f>A41</f>
        <v>成交单价</v>
      </c>
      <c r="Q41" s="3695"/>
      <c r="R41" s="3657">
        <f>E41</f>
        <v>0</v>
      </c>
      <c r="S41" s="3657"/>
      <c r="T41" s="3657">
        <f>G41</f>
        <v>0</v>
      </c>
      <c r="U41" s="3657"/>
      <c r="V41" s="3657">
        <f>I41</f>
        <v>0</v>
      </c>
      <c r="W41" s="3657"/>
      <c r="X41" s="688"/>
      <c r="Y41" s="710"/>
      <c r="Z41" s="688"/>
      <c r="AA41" s="688"/>
      <c r="AB41" s="688"/>
      <c r="AC41" s="688"/>
    </row>
    <row r="42" spans="1:31" ht="15.75" thickBot="1">
      <c r="A42" s="437" t="s">
        <v>1793</v>
      </c>
      <c r="B42" s="630"/>
      <c r="C42" s="440" t="e">
        <f>R43</f>
        <v>#DIV/0!</v>
      </c>
      <c r="D42" s="2315" t="s">
        <v>2135</v>
      </c>
      <c r="E42" s="440" t="e">
        <f>R42</f>
        <v>#DIV/0!</v>
      </c>
      <c r="F42" s="2316"/>
      <c r="G42" s="439" t="e">
        <f>T42</f>
        <v>#DIV/0!</v>
      </c>
      <c r="H42" s="2316"/>
      <c r="I42" s="440" t="e">
        <f>V42</f>
        <v>#DIV/0!</v>
      </c>
      <c r="J42" s="2316"/>
      <c r="K42" s="2318">
        <f>F42+H42+J42</f>
        <v>0</v>
      </c>
      <c r="L42" s="2721"/>
      <c r="M42" s="2713"/>
      <c r="N42" s="2713"/>
      <c r="O42" s="2722"/>
      <c r="P42" s="3695" t="str">
        <f>A42</f>
        <v>比较价值（元/平方米）</v>
      </c>
      <c r="Q42" s="3695"/>
      <c r="R42" s="3764" t="e">
        <f>ROUND(PRODUCT(R41,AA7:AA40),0)</f>
        <v>#DIV/0!</v>
      </c>
      <c r="S42" s="3764"/>
      <c r="T42" s="3764" t="e">
        <f>ROUND(PRODUCT(T41,AB7:AB40),0)</f>
        <v>#DIV/0!</v>
      </c>
      <c r="U42" s="3764"/>
      <c r="V42" s="3764" t="e">
        <f>ROUND(PRODUCT(V41,AC7:AC40),0)</f>
        <v>#DIV/0!</v>
      </c>
      <c r="W42" s="376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97" t="str">
        <f>A43</f>
        <v>估价对象XX用房的比较价值（楼面单价，元/平方米）</v>
      </c>
      <c r="Q43" s="3698"/>
      <c r="R43" s="3765" t="e">
        <f>ROUND(IF(D42="简单平均",AVERAGE(R42:W42),R42*F42+T42*H42+V42*J42),0)</f>
        <v>#DIV/0!</v>
      </c>
      <c r="S43" s="3765"/>
      <c r="T43" s="3765"/>
      <c r="U43" s="3765"/>
      <c r="V43" s="3765"/>
      <c r="W43" s="3765"/>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673" t="s">
        <v>1887</v>
      </c>
      <c r="H50" s="3766"/>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554.57000000000005</v>
      </c>
      <c r="F51" s="638" t="e">
        <f t="shared" ref="F51:F60" si="15">ROUND(B51*E51/10000,0)</f>
        <v>#DIV/0!</v>
      </c>
      <c r="G51" s="3672"/>
      <c r="H51" s="3695"/>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t="e">
        <f>ROUND($C$43*C52*D52,0)</f>
        <v>#DIV/0!</v>
      </c>
      <c r="C52" s="171">
        <f t="shared" ref="C52:C60" si="16">IF($C$50="北京市系数",I52,J52)</f>
        <v>0.6</v>
      </c>
      <c r="D52" s="943">
        <v>0.25</v>
      </c>
      <c r="E52" s="641"/>
      <c r="F52" s="638" t="e">
        <f t="shared" si="15"/>
        <v>#DIV/0!</v>
      </c>
      <c r="G52" s="3003" t="s">
        <v>1892</v>
      </c>
      <c r="H52" s="885" t="str">
        <f>项目基本情况!B37</f>
        <v>七级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t="e">
        <f t="shared" ref="B53:B60" si="17">ROUND($C$43*C53*D53,0)</f>
        <v>#DIV/0!</v>
      </c>
      <c r="C53" s="171">
        <f t="shared" si="16"/>
        <v>0.3</v>
      </c>
      <c r="D53" s="943">
        <v>0.25</v>
      </c>
      <c r="E53" s="641"/>
      <c r="F53" s="638" t="e">
        <f t="shared" si="15"/>
        <v>#DIV/0!</v>
      </c>
      <c r="G53" s="3004"/>
      <c r="H53" s="885" t="str">
        <f>项目基本情况!B37</f>
        <v>七级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t="e">
        <f t="shared" si="17"/>
        <v>#DIV/0!</v>
      </c>
      <c r="C54" s="171">
        <f t="shared" si="16"/>
        <v>0.25</v>
      </c>
      <c r="D54" s="943">
        <v>0.25</v>
      </c>
      <c r="E54" s="641"/>
      <c r="F54" s="638" t="e">
        <f t="shared" si="15"/>
        <v>#DIV/0!</v>
      </c>
      <c r="G54" s="3004"/>
      <c r="H54" s="885" t="str">
        <f>项目基本情况!B37</f>
        <v>七级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t="e">
        <f t="shared" si="17"/>
        <v>#DIV/0!</v>
      </c>
      <c r="C56" s="171">
        <f t="shared" si="16"/>
        <v>0</v>
      </c>
      <c r="D56" s="943">
        <v>0.25</v>
      </c>
      <c r="E56" s="217">
        <f>'数据-汇总表'!E11</f>
        <v>0</v>
      </c>
      <c r="F56" s="638"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t="e">
        <f t="shared" si="17"/>
        <v>#DIV/0!</v>
      </c>
      <c r="C57" s="171">
        <f t="shared" si="16"/>
        <v>0</v>
      </c>
      <c r="D57" s="943">
        <v>0.25</v>
      </c>
      <c r="E57" s="217">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t="e">
        <f t="shared" si="17"/>
        <v>#DIV/0!</v>
      </c>
      <c r="C58" s="171">
        <f t="shared" si="16"/>
        <v>0</v>
      </c>
      <c r="D58" s="943">
        <v>0.25</v>
      </c>
      <c r="E58" s="217">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t="e">
        <f t="shared" si="17"/>
        <v>#DIV/0!</v>
      </c>
      <c r="C59" s="171">
        <f t="shared" si="16"/>
        <v>0.15</v>
      </c>
      <c r="D59" s="943">
        <v>0.25</v>
      </c>
      <c r="E59" s="217">
        <f>'数据-汇总表'!E14</f>
        <v>0</v>
      </c>
      <c r="F59" s="638" t="e">
        <f t="shared" si="15"/>
        <v>#DIV/0!</v>
      </c>
      <c r="G59" s="1985" t="s">
        <v>1892</v>
      </c>
      <c r="H59" s="885" t="str">
        <f>项目基本情况!B37</f>
        <v>七级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t="e">
        <f t="shared" si="17"/>
        <v>#DIV/0!</v>
      </c>
      <c r="C60" s="171">
        <f t="shared" si="16"/>
        <v>0</v>
      </c>
      <c r="D60" s="943">
        <v>0.25</v>
      </c>
      <c r="E60" s="217">
        <f>'数据-汇总表'!E15</f>
        <v>0</v>
      </c>
      <c r="F60" s="638"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90" zoomScaleNormal="70" zoomScaleSheetLayoutView="90" workbookViewId="0">
      <selection activeCell="F51" sqref="F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3454</v>
      </c>
      <c r="E1" s="3423" t="s">
        <v>3397</v>
      </c>
      <c r="F1" s="1877" t="s">
        <v>3439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6.1</v>
      </c>
      <c r="C3" s="354" t="s">
        <v>1665</v>
      </c>
      <c r="D3" s="353">
        <f>IF(D1="",'数据-汇总表'!E3,SUMIF('数据-汇总表'!$C19:$C33,D1,'数据-汇总表'!$E19:$E33))</f>
        <v>0</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73" t="s">
        <v>1667</v>
      </c>
      <c r="D4" s="3674"/>
      <c r="E4" s="3675" t="s">
        <v>1668</v>
      </c>
      <c r="F4" s="3676"/>
      <c r="G4" s="3673" t="s">
        <v>1669</v>
      </c>
      <c r="H4" s="3674"/>
      <c r="I4" s="3673" t="s">
        <v>1670</v>
      </c>
      <c r="J4" s="3674"/>
      <c r="K4" s="559" t="s">
        <v>1774</v>
      </c>
      <c r="L4" s="2712"/>
      <c r="M4" s="2713"/>
      <c r="N4" s="2713"/>
      <c r="O4" s="2713"/>
      <c r="P4" s="3677" t="s">
        <v>1672</v>
      </c>
      <c r="Q4" s="3678"/>
      <c r="R4" s="3660" t="s">
        <v>1668</v>
      </c>
      <c r="S4" s="3661"/>
      <c r="T4" s="3660" t="s">
        <v>1669</v>
      </c>
      <c r="U4" s="3661"/>
      <c r="V4" s="3657" t="s">
        <v>1670</v>
      </c>
      <c r="W4" s="3657"/>
      <c r="X4" s="3461"/>
      <c r="Y4" s="3660" t="s">
        <v>1672</v>
      </c>
      <c r="Z4" s="3661"/>
      <c r="AA4" s="3654" t="s">
        <v>1668</v>
      </c>
      <c r="AB4" s="3657" t="s">
        <v>1669</v>
      </c>
      <c r="AC4" s="3654" t="s">
        <v>1670</v>
      </c>
    </row>
    <row r="5" spans="1:29" ht="15">
      <c r="A5" s="358"/>
      <c r="B5" s="359"/>
      <c r="C5" s="3666" t="s">
        <v>3472</v>
      </c>
      <c r="D5" s="3667"/>
      <c r="E5" s="3664" t="s">
        <v>3475</v>
      </c>
      <c r="F5" s="3665"/>
      <c r="G5" s="3666" t="s">
        <v>3467</v>
      </c>
      <c r="H5" s="3667"/>
      <c r="I5" s="3666" t="s">
        <v>3471</v>
      </c>
      <c r="J5" s="3667"/>
      <c r="K5" s="559"/>
      <c r="L5" s="2712"/>
      <c r="M5" s="2713"/>
      <c r="N5" s="2713"/>
      <c r="O5" s="2713"/>
      <c r="P5" s="3679"/>
      <c r="Q5" s="3680"/>
      <c r="R5" s="3662"/>
      <c r="S5" s="3663"/>
      <c r="T5" s="3662"/>
      <c r="U5" s="3663"/>
      <c r="V5" s="3657"/>
      <c r="W5" s="3657"/>
      <c r="X5" s="3461"/>
      <c r="Y5" s="3662"/>
      <c r="Z5" s="3663"/>
      <c r="AA5" s="3655"/>
      <c r="AB5" s="3657"/>
      <c r="AC5" s="3655"/>
    </row>
    <row r="6" spans="1:29" ht="15.75" thickBot="1">
      <c r="A6" s="360"/>
      <c r="B6" s="361"/>
      <c r="C6" s="3668" t="s">
        <v>1677</v>
      </c>
      <c r="D6" s="3669"/>
      <c r="E6" s="3670" t="s">
        <v>1677</v>
      </c>
      <c r="F6" s="3671"/>
      <c r="G6" s="3668" t="s">
        <v>1677</v>
      </c>
      <c r="H6" s="3669"/>
      <c r="I6" s="3668" t="s">
        <v>1677</v>
      </c>
      <c r="J6" s="3669"/>
      <c r="K6" s="559" t="s">
        <v>1678</v>
      </c>
      <c r="L6" s="2712"/>
      <c r="M6" s="2713"/>
      <c r="N6" s="2713"/>
      <c r="O6" s="2713"/>
      <c r="P6" s="3681"/>
      <c r="Q6" s="3682"/>
      <c r="R6" s="3662"/>
      <c r="S6" s="3663"/>
      <c r="T6" s="3683"/>
      <c r="U6" s="3684"/>
      <c r="V6" s="3657"/>
      <c r="W6" s="3657"/>
      <c r="X6" s="3461"/>
      <c r="Y6" s="3683"/>
      <c r="Z6" s="3684"/>
      <c r="AA6" s="3656"/>
      <c r="AB6" s="3657"/>
      <c r="AC6" s="3656"/>
    </row>
    <row r="7" spans="1:29" s="108" customFormat="1" ht="15.75" thickBot="1">
      <c r="A7" s="362" t="s">
        <v>1679</v>
      </c>
      <c r="B7" s="363"/>
      <c r="C7" s="364">
        <f>'数据-取费表'!B2</f>
        <v>45085</v>
      </c>
      <c r="D7" s="365">
        <v>100</v>
      </c>
      <c r="E7" s="366">
        <f>C7</f>
        <v>45085</v>
      </c>
      <c r="F7" s="367">
        <f>SUMIF(58:58,YEAR(E7)&amp;"-"&amp;MONTH(E7),59:59)</f>
        <v>100</v>
      </c>
      <c r="G7" s="366">
        <f>C7</f>
        <v>45085</v>
      </c>
      <c r="H7" s="365">
        <f>SUMIF(58:58,YEAR(G7)&amp;"-"&amp;MONTH(G7),59:59)</f>
        <v>100</v>
      </c>
      <c r="I7" s="366">
        <f>C7</f>
        <v>45085</v>
      </c>
      <c r="J7" s="365">
        <f>SUMIF(58:58,YEAR(I7)&amp;"-"&amp;MONTH(I7),59:59)</f>
        <v>100</v>
      </c>
      <c r="K7" s="560"/>
      <c r="L7" s="2714"/>
      <c r="M7" s="2715"/>
      <c r="N7" s="2715"/>
      <c r="O7" s="2715"/>
      <c r="P7" s="3658" t="s">
        <v>1680</v>
      </c>
      <c r="Q7" s="3685"/>
      <c r="R7" s="699" t="s">
        <v>14</v>
      </c>
      <c r="S7" s="700">
        <f t="shared" ref="S7:S15" si="0">F7</f>
        <v>100</v>
      </c>
      <c r="T7" s="699" t="s">
        <v>14</v>
      </c>
      <c r="U7" s="700">
        <f t="shared" ref="U7:U15" si="1">H7</f>
        <v>100</v>
      </c>
      <c r="V7" s="699" t="s">
        <v>14</v>
      </c>
      <c r="W7" s="700">
        <f t="shared" ref="W7:W15" si="2">J7</f>
        <v>100</v>
      </c>
      <c r="X7" s="701"/>
      <c r="Y7" s="3658" t="s">
        <v>1680</v>
      </c>
      <c r="Z7" s="3659"/>
      <c r="AA7" s="702">
        <f>D7/F7</f>
        <v>1</v>
      </c>
      <c r="AB7" s="702">
        <f>D7/H7</f>
        <v>1</v>
      </c>
      <c r="AC7" s="702">
        <f>D7/J7</f>
        <v>1</v>
      </c>
    </row>
    <row r="8" spans="1:29" s="108" customFormat="1" ht="15.75" thickBot="1">
      <c r="A8" s="362" t="s">
        <v>1681</v>
      </c>
      <c r="B8" s="363"/>
      <c r="C8" s="368" t="s">
        <v>3401</v>
      </c>
      <c r="D8" s="365">
        <v>100</v>
      </c>
      <c r="E8" s="368" t="s">
        <v>3399</v>
      </c>
      <c r="F8" s="367">
        <f>SUMIF(61:61,E8,62:62)-SUMIF(61:61,C8,62:62)+100</f>
        <v>105</v>
      </c>
      <c r="G8" s="368" t="s">
        <v>3399</v>
      </c>
      <c r="H8" s="365">
        <f>SUMIF(61:61,G8,62:62)-SUMIF(61:61,C8,62:62)+100</f>
        <v>105</v>
      </c>
      <c r="I8" s="368" t="s">
        <v>3399</v>
      </c>
      <c r="J8" s="365">
        <f>SUMIF(61:61,I8,62:62)-SUMIF(61:61,C8,62:62)+100</f>
        <v>105</v>
      </c>
      <c r="K8" s="560"/>
      <c r="L8" s="2714"/>
      <c r="M8" s="2715"/>
      <c r="N8" s="2715"/>
      <c r="O8" s="2715"/>
      <c r="P8" s="3658" t="s">
        <v>1683</v>
      </c>
      <c r="Q8" s="3659"/>
      <c r="R8" s="699" t="s">
        <v>14</v>
      </c>
      <c r="S8" s="700">
        <f t="shared" si="0"/>
        <v>105</v>
      </c>
      <c r="T8" s="699" t="s">
        <v>14</v>
      </c>
      <c r="U8" s="700">
        <f t="shared" si="1"/>
        <v>105</v>
      </c>
      <c r="V8" s="699" t="s">
        <v>14</v>
      </c>
      <c r="W8" s="700">
        <f t="shared" si="2"/>
        <v>105</v>
      </c>
      <c r="X8" s="701"/>
      <c r="Y8" s="3658" t="s">
        <v>1683</v>
      </c>
      <c r="Z8" s="3659"/>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8" t="s">
        <v>3402</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2" t="s">
        <v>1686</v>
      </c>
      <c r="Q9" s="3456" t="str">
        <f t="shared" ref="Q9:Q15" si="6">B9</f>
        <v>用途</v>
      </c>
      <c r="R9" s="699" t="s">
        <v>14</v>
      </c>
      <c r="S9" s="700">
        <f t="shared" si="0"/>
        <v>100</v>
      </c>
      <c r="T9" s="699" t="s">
        <v>14</v>
      </c>
      <c r="U9" s="700">
        <f t="shared" si="1"/>
        <v>100</v>
      </c>
      <c r="V9" s="699" t="s">
        <v>14</v>
      </c>
      <c r="W9" s="700">
        <f t="shared" si="2"/>
        <v>100</v>
      </c>
      <c r="X9" s="701"/>
      <c r="Y9" s="3627" t="s">
        <v>1687</v>
      </c>
      <c r="Z9" s="3455" t="str">
        <f t="shared" ref="Z9:Z15" si="7">Q9</f>
        <v>用途</v>
      </c>
      <c r="AA9" s="702">
        <f t="shared" si="3"/>
        <v>1</v>
      </c>
      <c r="AB9" s="702">
        <f t="shared" si="4"/>
        <v>1</v>
      </c>
      <c r="AC9" s="702">
        <f t="shared" si="5"/>
        <v>1</v>
      </c>
    </row>
    <row r="10" spans="1:29" s="378" customFormat="1" ht="27">
      <c r="A10" s="374"/>
      <c r="B10" s="375" t="s">
        <v>1688</v>
      </c>
      <c r="C10" s="3431" t="s">
        <v>3464</v>
      </c>
      <c r="D10" s="127">
        <v>100</v>
      </c>
      <c r="E10" s="3432" t="s">
        <v>3465</v>
      </c>
      <c r="F10" s="376">
        <f>SUMIF(65:65,E10,66:66)-SUMIF(65:65,C10,66:66)+100</f>
        <v>100</v>
      </c>
      <c r="G10" s="3431" t="s">
        <v>3465</v>
      </c>
      <c r="H10" s="127">
        <f>SUMIF(65:65,G10,66:66)-SUMIF(65:65,C10,66:66)+100</f>
        <v>100</v>
      </c>
      <c r="I10" s="3431" t="s">
        <v>3465</v>
      </c>
      <c r="J10" s="127">
        <f>SUMIF(65:65,I10,66:66)-SUMIF(65:65,C10,66:66)+100</f>
        <v>100</v>
      </c>
      <c r="K10" s="560"/>
      <c r="L10" s="2716"/>
      <c r="M10" s="2717"/>
      <c r="N10" s="2717"/>
      <c r="O10" s="2717"/>
      <c r="P10" s="3672"/>
      <c r="Q10" s="3456" t="str">
        <f t="shared" si="6"/>
        <v>土地使用年限（年）</v>
      </c>
      <c r="R10" s="699" t="s">
        <v>14</v>
      </c>
      <c r="S10" s="700">
        <f t="shared" si="0"/>
        <v>100</v>
      </c>
      <c r="T10" s="699" t="s">
        <v>14</v>
      </c>
      <c r="U10" s="700">
        <f t="shared" si="1"/>
        <v>100</v>
      </c>
      <c r="V10" s="699" t="s">
        <v>14</v>
      </c>
      <c r="W10" s="700">
        <f t="shared" si="2"/>
        <v>100</v>
      </c>
      <c r="X10" s="701"/>
      <c r="Y10" s="3627"/>
      <c r="Z10" s="3455"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2"/>
      <c r="Q11" s="3456" t="str">
        <f t="shared" si="6"/>
        <v>容积率</v>
      </c>
      <c r="R11" s="699" t="s">
        <v>14</v>
      </c>
      <c r="S11" s="700">
        <f t="shared" si="0"/>
        <v>100</v>
      </c>
      <c r="T11" s="699" t="s">
        <v>14</v>
      </c>
      <c r="U11" s="700">
        <f t="shared" si="1"/>
        <v>100</v>
      </c>
      <c r="V11" s="699" t="s">
        <v>14</v>
      </c>
      <c r="W11" s="700">
        <f t="shared" si="2"/>
        <v>100</v>
      </c>
      <c r="X11" s="701"/>
      <c r="Y11" s="3627"/>
      <c r="Z11" s="3455"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2"/>
      <c r="Q12" s="3456">
        <f t="shared" si="6"/>
        <v>111</v>
      </c>
      <c r="R12" s="699" t="s">
        <v>14</v>
      </c>
      <c r="S12" s="700">
        <f t="shared" si="0"/>
        <v>100</v>
      </c>
      <c r="T12" s="699" t="s">
        <v>14</v>
      </c>
      <c r="U12" s="700">
        <f t="shared" si="1"/>
        <v>100</v>
      </c>
      <c r="V12" s="699" t="s">
        <v>14</v>
      </c>
      <c r="W12" s="700">
        <f t="shared" si="2"/>
        <v>100</v>
      </c>
      <c r="X12" s="701"/>
      <c r="Y12" s="3627"/>
      <c r="Z12" s="3455">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2"/>
      <c r="Q13" s="3456">
        <f t="shared" si="6"/>
        <v>111</v>
      </c>
      <c r="R13" s="699" t="s">
        <v>14</v>
      </c>
      <c r="S13" s="700">
        <f t="shared" si="0"/>
        <v>100</v>
      </c>
      <c r="T13" s="699" t="s">
        <v>14</v>
      </c>
      <c r="U13" s="700">
        <f t="shared" si="1"/>
        <v>100</v>
      </c>
      <c r="V13" s="699" t="s">
        <v>14</v>
      </c>
      <c r="W13" s="700">
        <f t="shared" si="2"/>
        <v>100</v>
      </c>
      <c r="X13" s="701"/>
      <c r="Y13" s="3627"/>
      <c r="Z13" s="3455">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2"/>
      <c r="Q14" s="3456">
        <f t="shared" si="6"/>
        <v>111</v>
      </c>
      <c r="R14" s="699" t="s">
        <v>14</v>
      </c>
      <c r="S14" s="700">
        <f t="shared" si="0"/>
        <v>100</v>
      </c>
      <c r="T14" s="699" t="s">
        <v>14</v>
      </c>
      <c r="U14" s="700">
        <f t="shared" si="1"/>
        <v>100</v>
      </c>
      <c r="V14" s="699" t="s">
        <v>14</v>
      </c>
      <c r="W14" s="700">
        <f t="shared" si="2"/>
        <v>100</v>
      </c>
      <c r="X14" s="701"/>
      <c r="Y14" s="3627"/>
      <c r="Z14" s="3455">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95</v>
      </c>
      <c r="G15" s="395"/>
      <c r="H15" s="392">
        <f>SUMIF(76:76,G16,77:77)-SUMIF(76:76,C16,77:77)+100</f>
        <v>100</v>
      </c>
      <c r="I15" s="393"/>
      <c r="J15" s="392">
        <f>SUMIF(76:76,I16,77:77)-SUMIF(76:76,C16,77:77)+100</f>
        <v>95</v>
      </c>
      <c r="K15" s="563">
        <v>5</v>
      </c>
      <c r="L15" s="2719"/>
      <c r="M15" s="2713"/>
      <c r="N15" s="2713"/>
      <c r="O15" s="2713"/>
      <c r="P15" s="3686" t="s">
        <v>1691</v>
      </c>
      <c r="Q15" s="3457" t="str">
        <f t="shared" si="6"/>
        <v>商业繁华度</v>
      </c>
      <c r="R15" s="703" t="s">
        <v>14</v>
      </c>
      <c r="S15" s="704">
        <f t="shared" si="0"/>
        <v>95</v>
      </c>
      <c r="T15" s="703" t="s">
        <v>14</v>
      </c>
      <c r="U15" s="704">
        <f t="shared" si="1"/>
        <v>100</v>
      </c>
      <c r="V15" s="703" t="s">
        <v>14</v>
      </c>
      <c r="W15" s="704">
        <f t="shared" si="2"/>
        <v>95</v>
      </c>
      <c r="X15" s="3461"/>
      <c r="Y15" s="3688" t="s">
        <v>1691</v>
      </c>
      <c r="Z15" s="3460" t="str">
        <f t="shared" si="7"/>
        <v>商业繁华度</v>
      </c>
      <c r="AA15" s="3458">
        <f t="shared" si="3"/>
        <v>1.0526315789473684</v>
      </c>
      <c r="AB15" s="3458">
        <f t="shared" si="4"/>
        <v>1</v>
      </c>
      <c r="AC15" s="3458">
        <f t="shared" si="5"/>
        <v>1.0526315789473684</v>
      </c>
    </row>
    <row r="16" spans="1:29" ht="15">
      <c r="A16" s="379"/>
      <c r="B16" s="397"/>
      <c r="C16" s="398" t="s">
        <v>3403</v>
      </c>
      <c r="D16" s="399"/>
      <c r="E16" s="398" t="s">
        <v>3466</v>
      </c>
      <c r="F16" s="400"/>
      <c r="G16" s="398" t="s">
        <v>3403</v>
      </c>
      <c r="H16" s="401"/>
      <c r="I16" s="398" t="s">
        <v>3466</v>
      </c>
      <c r="J16" s="399"/>
      <c r="K16" s="564"/>
      <c r="L16" s="2719"/>
      <c r="M16" s="2713"/>
      <c r="N16" s="2713"/>
      <c r="O16" s="2713"/>
      <c r="P16" s="3687"/>
      <c r="Q16" s="3457"/>
      <c r="R16" s="703"/>
      <c r="S16" s="704"/>
      <c r="T16" s="703"/>
      <c r="U16" s="704"/>
      <c r="V16" s="703"/>
      <c r="W16" s="704"/>
      <c r="X16" s="3461"/>
      <c r="Y16" s="3689"/>
      <c r="Z16" s="3460"/>
      <c r="AA16" s="3458">
        <v>1</v>
      </c>
      <c r="AB16" s="3458">
        <v>1</v>
      </c>
      <c r="AC16" s="3458">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102</v>
      </c>
      <c r="K17" s="563">
        <v>2</v>
      </c>
      <c r="L17" s="2719"/>
      <c r="M17" s="2713"/>
      <c r="N17" s="2713"/>
      <c r="O17" s="2713"/>
      <c r="P17" s="3687"/>
      <c r="Q17" s="3457" t="str">
        <f>B17</f>
        <v>交通便捷度</v>
      </c>
      <c r="R17" s="703" t="s">
        <v>14</v>
      </c>
      <c r="S17" s="704">
        <f>F17</f>
        <v>100</v>
      </c>
      <c r="T17" s="703" t="s">
        <v>14</v>
      </c>
      <c r="U17" s="704">
        <f>H17</f>
        <v>100</v>
      </c>
      <c r="V17" s="703" t="s">
        <v>14</v>
      </c>
      <c r="W17" s="704">
        <f>J17</f>
        <v>102</v>
      </c>
      <c r="X17" s="3461"/>
      <c r="Y17" s="3689"/>
      <c r="Z17" s="3460" t="str">
        <f>Q17</f>
        <v>交通便捷度</v>
      </c>
      <c r="AA17" s="3458">
        <f t="shared" si="3"/>
        <v>1</v>
      </c>
      <c r="AB17" s="3458">
        <f t="shared" si="4"/>
        <v>1</v>
      </c>
      <c r="AC17" s="3458">
        <f t="shared" si="5"/>
        <v>0.98039215686274506</v>
      </c>
    </row>
    <row r="18" spans="1:29" ht="15">
      <c r="A18" s="379"/>
      <c r="B18" s="407"/>
      <c r="C18" s="1899" t="s">
        <v>3403</v>
      </c>
      <c r="D18" s="401"/>
      <c r="E18" s="1899" t="s">
        <v>3403</v>
      </c>
      <c r="F18" s="404"/>
      <c r="G18" s="1899" t="s">
        <v>3403</v>
      </c>
      <c r="H18" s="399"/>
      <c r="I18" s="1899" t="s">
        <v>3404</v>
      </c>
      <c r="J18" s="399"/>
      <c r="K18" s="564"/>
      <c r="L18" s="2719"/>
      <c r="M18" s="2713"/>
      <c r="N18" s="2713"/>
      <c r="O18" s="2713"/>
      <c r="P18" s="3687"/>
      <c r="Q18" s="3457"/>
      <c r="R18" s="703"/>
      <c r="S18" s="704"/>
      <c r="T18" s="703"/>
      <c r="U18" s="704"/>
      <c r="V18" s="703"/>
      <c r="W18" s="704"/>
      <c r="X18" s="3461"/>
      <c r="Y18" s="3689"/>
      <c r="Z18" s="3460"/>
      <c r="AA18" s="3458">
        <v>1</v>
      </c>
      <c r="AB18" s="3458">
        <v>1</v>
      </c>
      <c r="AC18" s="3458">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687"/>
      <c r="Q19" s="3457" t="str">
        <f>B19</f>
        <v>公共配套设施</v>
      </c>
      <c r="R19" s="703" t="s">
        <v>14</v>
      </c>
      <c r="S19" s="704">
        <f>F19</f>
        <v>100</v>
      </c>
      <c r="T19" s="703" t="s">
        <v>14</v>
      </c>
      <c r="U19" s="704">
        <f>H19</f>
        <v>100</v>
      </c>
      <c r="V19" s="703" t="s">
        <v>14</v>
      </c>
      <c r="W19" s="704">
        <f>J19</f>
        <v>100</v>
      </c>
      <c r="X19" s="3461"/>
      <c r="Y19" s="3689"/>
      <c r="Z19" s="3460" t="str">
        <f>Q19</f>
        <v>公共配套设施</v>
      </c>
      <c r="AA19" s="3458">
        <f t="shared" si="3"/>
        <v>1</v>
      </c>
      <c r="AB19" s="3458">
        <f t="shared" si="4"/>
        <v>1</v>
      </c>
      <c r="AC19" s="3458">
        <f t="shared" si="5"/>
        <v>1</v>
      </c>
    </row>
    <row r="20" spans="1:29" ht="15">
      <c r="A20" s="379"/>
      <c r="B20" s="407"/>
      <c r="C20" s="398" t="s">
        <v>3404</v>
      </c>
      <c r="D20" s="399"/>
      <c r="E20" s="398" t="s">
        <v>3404</v>
      </c>
      <c r="F20" s="400"/>
      <c r="G20" s="398" t="s">
        <v>3404</v>
      </c>
      <c r="H20" s="399"/>
      <c r="I20" s="398" t="s">
        <v>3404</v>
      </c>
      <c r="J20" s="399"/>
      <c r="K20" s="564"/>
      <c r="L20" s="2719"/>
      <c r="M20" s="2713"/>
      <c r="N20" s="2713"/>
      <c r="O20" s="2713"/>
      <c r="P20" s="3687"/>
      <c r="Q20" s="3457"/>
      <c r="R20" s="703"/>
      <c r="S20" s="704"/>
      <c r="T20" s="703"/>
      <c r="U20" s="704"/>
      <c r="V20" s="703"/>
      <c r="W20" s="704"/>
      <c r="X20" s="3461"/>
      <c r="Y20" s="3689"/>
      <c r="Z20" s="3460"/>
      <c r="AA20" s="3458">
        <v>1</v>
      </c>
      <c r="AB20" s="3458">
        <v>1</v>
      </c>
      <c r="AC20" s="3458">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687"/>
      <c r="Q21" s="3457" t="str">
        <f>B21</f>
        <v>基础设施水平</v>
      </c>
      <c r="R21" s="703" t="s">
        <v>14</v>
      </c>
      <c r="S21" s="704">
        <f>F21</f>
        <v>100</v>
      </c>
      <c r="T21" s="703" t="s">
        <v>14</v>
      </c>
      <c r="U21" s="704">
        <f>H21</f>
        <v>100</v>
      </c>
      <c r="V21" s="703" t="s">
        <v>14</v>
      </c>
      <c r="W21" s="704">
        <f>J21</f>
        <v>100</v>
      </c>
      <c r="X21" s="3461"/>
      <c r="Y21" s="3689"/>
      <c r="Z21" s="3460" t="str">
        <f>Q21</f>
        <v>基础设施水平</v>
      </c>
      <c r="AA21" s="3458">
        <f t="shared" ref="AA21" si="8">D21/F21</f>
        <v>1</v>
      </c>
      <c r="AB21" s="3458">
        <f t="shared" ref="AB21" si="9">D21/H21</f>
        <v>1</v>
      </c>
      <c r="AC21" s="3458">
        <f t="shared" ref="AC21" si="10">D21/J21</f>
        <v>1</v>
      </c>
    </row>
    <row r="22" spans="1:29" ht="15">
      <c r="A22" s="379"/>
      <c r="B22" s="1129"/>
      <c r="C22" s="1899" t="s">
        <v>3405</v>
      </c>
      <c r="D22" s="399"/>
      <c r="E22" s="1899" t="s">
        <v>3405</v>
      </c>
      <c r="F22" s="400"/>
      <c r="G22" s="1899" t="s">
        <v>3405</v>
      </c>
      <c r="H22" s="399"/>
      <c r="I22" s="1899" t="s">
        <v>3405</v>
      </c>
      <c r="J22" s="399"/>
      <c r="K22" s="1128"/>
      <c r="L22" s="2719"/>
      <c r="M22" s="2713"/>
      <c r="N22" s="2713"/>
      <c r="O22" s="2713"/>
      <c r="P22" s="3687"/>
      <c r="Q22" s="3457"/>
      <c r="R22" s="703"/>
      <c r="S22" s="704"/>
      <c r="T22" s="703"/>
      <c r="U22" s="704"/>
      <c r="V22" s="703"/>
      <c r="W22" s="704"/>
      <c r="X22" s="3461"/>
      <c r="Y22" s="3689"/>
      <c r="Z22" s="3460"/>
      <c r="AA22" s="3458">
        <v>1</v>
      </c>
      <c r="AB22" s="3458">
        <v>1</v>
      </c>
      <c r="AC22" s="3458">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687"/>
      <c r="Q23" s="3457" t="str">
        <f>B23</f>
        <v>自然及人文环境</v>
      </c>
      <c r="R23" s="703" t="s">
        <v>14</v>
      </c>
      <c r="S23" s="704">
        <f>F23</f>
        <v>100</v>
      </c>
      <c r="T23" s="703" t="s">
        <v>14</v>
      </c>
      <c r="U23" s="704">
        <f>H23</f>
        <v>100</v>
      </c>
      <c r="V23" s="703" t="s">
        <v>14</v>
      </c>
      <c r="W23" s="704">
        <f>J23</f>
        <v>100</v>
      </c>
      <c r="X23" s="3461"/>
      <c r="Y23" s="3689"/>
      <c r="Z23" s="3460" t="str">
        <f>Q23</f>
        <v>自然及人文环境</v>
      </c>
      <c r="AA23" s="3458">
        <f t="shared" si="3"/>
        <v>1</v>
      </c>
      <c r="AB23" s="3458">
        <f t="shared" si="4"/>
        <v>1</v>
      </c>
      <c r="AC23" s="3458">
        <f t="shared" si="5"/>
        <v>1</v>
      </c>
    </row>
    <row r="24" spans="1:29" ht="15">
      <c r="A24" s="379"/>
      <c r="B24" s="407"/>
      <c r="C24" s="398" t="s">
        <v>3403</v>
      </c>
      <c r="D24" s="399"/>
      <c r="E24" s="398" t="s">
        <v>3403</v>
      </c>
      <c r="F24" s="400"/>
      <c r="G24" s="398" t="s">
        <v>3403</v>
      </c>
      <c r="H24" s="399"/>
      <c r="I24" s="398" t="s">
        <v>3403</v>
      </c>
      <c r="J24" s="399"/>
      <c r="K24" s="564"/>
      <c r="L24" s="2719"/>
      <c r="M24" s="2713"/>
      <c r="N24" s="2713"/>
      <c r="O24" s="2713"/>
      <c r="P24" s="3687"/>
      <c r="Q24" s="3457"/>
      <c r="R24" s="703"/>
      <c r="S24" s="704"/>
      <c r="T24" s="703"/>
      <c r="U24" s="704"/>
      <c r="V24" s="703"/>
      <c r="W24" s="704"/>
      <c r="X24" s="3461"/>
      <c r="Y24" s="3689"/>
      <c r="Z24" s="3460"/>
      <c r="AA24" s="3458">
        <v>1</v>
      </c>
      <c r="AB24" s="3458">
        <v>1</v>
      </c>
      <c r="AC24" s="3458">
        <v>1</v>
      </c>
    </row>
    <row r="25" spans="1:29" ht="15">
      <c r="A25" s="379"/>
      <c r="B25" s="375" t="s">
        <v>1780</v>
      </c>
      <c r="C25" s="565" t="s">
        <v>3427</v>
      </c>
      <c r="D25" s="386">
        <v>100</v>
      </c>
      <c r="E25" s="565" t="s">
        <v>3427</v>
      </c>
      <c r="F25" s="412">
        <f>SUMIF(86:86,E25,87:87)-SUMIF(86:86,C25,87:87)+100</f>
        <v>100</v>
      </c>
      <c r="G25" s="565" t="s">
        <v>3427</v>
      </c>
      <c r="H25" s="386">
        <f>SUMIF(86:86,G25,87:87)-SUMIF(86:86,C25,87:87)+100</f>
        <v>100</v>
      </c>
      <c r="I25" s="565" t="s">
        <v>3427</v>
      </c>
      <c r="J25" s="386">
        <f>SUMIF(86:86,I25,87:87)-SUMIF(86:86,C25,87:87)+100</f>
        <v>100</v>
      </c>
      <c r="K25" s="561">
        <v>5</v>
      </c>
      <c r="L25" s="2719"/>
      <c r="M25" s="2713"/>
      <c r="N25" s="2713"/>
      <c r="O25" s="2713"/>
      <c r="P25" s="3687"/>
      <c r="Q25" s="3457" t="str">
        <f t="shared" ref="Q25:Q46" si="11">B25</f>
        <v>临街状况</v>
      </c>
      <c r="R25" s="703" t="s">
        <v>14</v>
      </c>
      <c r="S25" s="704">
        <f>F25</f>
        <v>100</v>
      </c>
      <c r="T25" s="703" t="s">
        <v>14</v>
      </c>
      <c r="U25" s="704">
        <f>H25</f>
        <v>100</v>
      </c>
      <c r="V25" s="703" t="s">
        <v>14</v>
      </c>
      <c r="W25" s="704">
        <f>J25</f>
        <v>100</v>
      </c>
      <c r="X25" s="3461"/>
      <c r="Y25" s="3689"/>
      <c r="Z25" s="3460" t="str">
        <f>Q25</f>
        <v>临街状况</v>
      </c>
      <c r="AA25" s="3458">
        <f t="shared" si="3"/>
        <v>1</v>
      </c>
      <c r="AB25" s="3458">
        <f t="shared" si="4"/>
        <v>1</v>
      </c>
      <c r="AC25" s="3458">
        <f t="shared" si="5"/>
        <v>1</v>
      </c>
    </row>
    <row r="26" spans="1:29" ht="15">
      <c r="A26" s="379"/>
      <c r="B26" s="1131" t="s">
        <v>1781</v>
      </c>
      <c r="C26" s="3452" t="s">
        <v>3468</v>
      </c>
      <c r="D26" s="386">
        <v>100</v>
      </c>
      <c r="E26" s="3452" t="s">
        <v>3430</v>
      </c>
      <c r="F26" s="412">
        <f>SUMIF(88:88,E26,89:89)-SUMIF(88:88,C26,89:89)+100</f>
        <v>100</v>
      </c>
      <c r="G26" s="3452" t="s">
        <v>3468</v>
      </c>
      <c r="H26" s="386">
        <f>SUMIF(88:88,G26,89:89)-SUMIF(88:88,C26,89:89)+100</f>
        <v>100</v>
      </c>
      <c r="I26" s="3452" t="s">
        <v>3430</v>
      </c>
      <c r="J26" s="386">
        <f>SUMIF(88:88,I26,89:89)-SUMIF(88:88,C26,89:89)+100</f>
        <v>100</v>
      </c>
      <c r="K26" s="562"/>
      <c r="L26" s="2719"/>
      <c r="M26" s="2713"/>
      <c r="N26" s="2713"/>
      <c r="O26" s="2713"/>
      <c r="P26" s="3687"/>
      <c r="Q26" s="3457" t="str">
        <f t="shared" si="11"/>
        <v>平面位置/可视性</v>
      </c>
      <c r="R26" s="703" t="s">
        <v>14</v>
      </c>
      <c r="S26" s="704">
        <f>F26</f>
        <v>100</v>
      </c>
      <c r="T26" s="703" t="s">
        <v>14</v>
      </c>
      <c r="U26" s="704">
        <f>H26</f>
        <v>100</v>
      </c>
      <c r="V26" s="703" t="s">
        <v>14</v>
      </c>
      <c r="W26" s="704">
        <f>J26</f>
        <v>100</v>
      </c>
      <c r="X26" s="3461"/>
      <c r="Y26" s="3689"/>
      <c r="Z26" s="3460" t="str">
        <f>Q26</f>
        <v>平面位置/可视性</v>
      </c>
      <c r="AA26" s="3458">
        <f t="shared" si="3"/>
        <v>1</v>
      </c>
      <c r="AB26" s="3458">
        <f t="shared" si="4"/>
        <v>1</v>
      </c>
      <c r="AC26" s="3458">
        <f t="shared" si="5"/>
        <v>1</v>
      </c>
    </row>
    <row r="27" spans="1:29" s="108" customFormat="1" ht="15">
      <c r="A27" s="382"/>
      <c r="B27" s="402" t="s">
        <v>1782</v>
      </c>
      <c r="C27" s="1954" t="s">
        <v>3403</v>
      </c>
      <c r="D27" s="413">
        <v>100</v>
      </c>
      <c r="E27" s="1954" t="s">
        <v>3463</v>
      </c>
      <c r="F27" s="415">
        <f>SUMIF(90:90,E27,91:91)-SUMIF(90:90,C27,91:91)+100</f>
        <v>98</v>
      </c>
      <c r="G27" s="1954" t="s">
        <v>3403</v>
      </c>
      <c r="H27" s="413">
        <f>SUMIF(90:90,G27,91:91)-SUMIF(90:90,C27,91:91)+100</f>
        <v>100</v>
      </c>
      <c r="I27" s="1954" t="s">
        <v>3463</v>
      </c>
      <c r="J27" s="413">
        <f>SUMIF(90:90,I27,91:91)-SUMIF(90:90,C27,91:91)+100</f>
        <v>98</v>
      </c>
      <c r="K27" s="561">
        <v>2</v>
      </c>
      <c r="L27" s="2714"/>
      <c r="M27" s="2715"/>
      <c r="N27" s="2715"/>
      <c r="O27" s="2715"/>
      <c r="P27" s="3687"/>
      <c r="Q27" s="3456" t="str">
        <f t="shared" si="11"/>
        <v>人流量</v>
      </c>
      <c r="R27" s="699" t="s">
        <v>14</v>
      </c>
      <c r="S27" s="700">
        <f>F27</f>
        <v>98</v>
      </c>
      <c r="T27" s="699" t="s">
        <v>14</v>
      </c>
      <c r="U27" s="700">
        <f>H27</f>
        <v>100</v>
      </c>
      <c r="V27" s="699" t="s">
        <v>14</v>
      </c>
      <c r="W27" s="700">
        <f>J27</f>
        <v>98</v>
      </c>
      <c r="X27" s="701"/>
      <c r="Y27" s="3689"/>
      <c r="Z27" s="3455" t="str">
        <f>Q27</f>
        <v>人流量</v>
      </c>
      <c r="AA27" s="3458">
        <f>D27/F27</f>
        <v>1.0204081632653061</v>
      </c>
      <c r="AB27" s="3458">
        <f>D27/H27</f>
        <v>1</v>
      </c>
      <c r="AC27" s="3458">
        <f>D27/J27</f>
        <v>1.0204081632653061</v>
      </c>
    </row>
    <row r="28" spans="1:29" ht="15">
      <c r="A28" s="379"/>
      <c r="B28" s="375" t="s">
        <v>1783</v>
      </c>
      <c r="C28" s="565" t="s">
        <v>3462</v>
      </c>
      <c r="D28" s="386">
        <v>100</v>
      </c>
      <c r="E28" s="565" t="s">
        <v>3460</v>
      </c>
      <c r="F28" s="412">
        <f>SUMIF(92:92,E28,93:93)-SUMIF(92:92,C28,93:93)+100</f>
        <v>115</v>
      </c>
      <c r="G28" s="565" t="s">
        <v>3459</v>
      </c>
      <c r="H28" s="386">
        <f>SUMIF(92:92,G28,93:93)-SUMIF(92:92,C28,93:93)+100</f>
        <v>105</v>
      </c>
      <c r="I28" s="565" t="s">
        <v>3460</v>
      </c>
      <c r="J28" s="386">
        <f>SUMIF(92:92,I28,93:93)-SUMIF(92:92,C28,93:93)+100</f>
        <v>115</v>
      </c>
      <c r="K28" s="562"/>
      <c r="L28" s="2719"/>
      <c r="M28" s="2713"/>
      <c r="N28" s="2713"/>
      <c r="O28" s="2713"/>
      <c r="P28" s="3687"/>
      <c r="Q28" s="3457" t="str">
        <f t="shared" si="11"/>
        <v>楼层</v>
      </c>
      <c r="R28" s="703" t="s">
        <v>14</v>
      </c>
      <c r="S28" s="704">
        <f t="shared" ref="S28:S46" si="12">F28</f>
        <v>115</v>
      </c>
      <c r="T28" s="703" t="s">
        <v>14</v>
      </c>
      <c r="U28" s="704">
        <f t="shared" ref="U28:U46" si="13">H28</f>
        <v>105</v>
      </c>
      <c r="V28" s="703" t="s">
        <v>14</v>
      </c>
      <c r="W28" s="704">
        <f t="shared" ref="W28:W46" si="14">J28</f>
        <v>115</v>
      </c>
      <c r="X28" s="3461"/>
      <c r="Y28" s="3689"/>
      <c r="Z28" s="3460" t="str">
        <f t="shared" ref="Z28:Z46" si="15">Q28</f>
        <v>楼层</v>
      </c>
      <c r="AA28" s="3458">
        <f t="shared" si="3"/>
        <v>0.86956521739130432</v>
      </c>
      <c r="AB28" s="3458">
        <f t="shared" si="4"/>
        <v>0.95238095238095233</v>
      </c>
      <c r="AC28" s="3458">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7"/>
      <c r="Q29" s="3457">
        <f t="shared" si="11"/>
        <v>111</v>
      </c>
      <c r="R29" s="703" t="s">
        <v>14</v>
      </c>
      <c r="S29" s="704">
        <f t="shared" si="12"/>
        <v>100</v>
      </c>
      <c r="T29" s="703" t="s">
        <v>14</v>
      </c>
      <c r="U29" s="704">
        <f t="shared" si="13"/>
        <v>100</v>
      </c>
      <c r="V29" s="703" t="s">
        <v>14</v>
      </c>
      <c r="W29" s="704">
        <f t="shared" si="14"/>
        <v>100</v>
      </c>
      <c r="X29" s="3461"/>
      <c r="Y29" s="3689"/>
      <c r="Z29" s="3460">
        <f t="shared" si="15"/>
        <v>111</v>
      </c>
      <c r="AA29" s="3458">
        <f t="shared" si="3"/>
        <v>1</v>
      </c>
      <c r="AB29" s="3458">
        <f t="shared" si="4"/>
        <v>1</v>
      </c>
      <c r="AC29" s="3458">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7"/>
      <c r="Q30" s="3457">
        <f t="shared" si="11"/>
        <v>111</v>
      </c>
      <c r="R30" s="703" t="s">
        <v>14</v>
      </c>
      <c r="S30" s="704">
        <f t="shared" si="12"/>
        <v>100</v>
      </c>
      <c r="T30" s="703" t="s">
        <v>14</v>
      </c>
      <c r="U30" s="704">
        <f t="shared" si="13"/>
        <v>100</v>
      </c>
      <c r="V30" s="703" t="s">
        <v>14</v>
      </c>
      <c r="W30" s="704">
        <f t="shared" si="14"/>
        <v>100</v>
      </c>
      <c r="X30" s="3461"/>
      <c r="Y30" s="3689"/>
      <c r="Z30" s="3460">
        <f t="shared" si="15"/>
        <v>111</v>
      </c>
      <c r="AA30" s="3458">
        <f t="shared" si="3"/>
        <v>1</v>
      </c>
      <c r="AB30" s="3458">
        <f t="shared" si="4"/>
        <v>1</v>
      </c>
      <c r="AC30" s="3458">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7"/>
      <c r="Q31" s="3457">
        <f t="shared" si="11"/>
        <v>111</v>
      </c>
      <c r="R31" s="703" t="s">
        <v>14</v>
      </c>
      <c r="S31" s="704">
        <f t="shared" si="12"/>
        <v>100</v>
      </c>
      <c r="T31" s="703" t="s">
        <v>14</v>
      </c>
      <c r="U31" s="704">
        <f t="shared" si="13"/>
        <v>100</v>
      </c>
      <c r="V31" s="703" t="s">
        <v>14</v>
      </c>
      <c r="W31" s="704">
        <f t="shared" si="14"/>
        <v>100</v>
      </c>
      <c r="X31" s="3461"/>
      <c r="Y31" s="3689"/>
      <c r="Z31" s="3460">
        <f t="shared" si="15"/>
        <v>111</v>
      </c>
      <c r="AA31" s="3458">
        <f t="shared" si="3"/>
        <v>1</v>
      </c>
      <c r="AB31" s="3458">
        <f t="shared" si="4"/>
        <v>1</v>
      </c>
      <c r="AC31" s="3458">
        <f t="shared" si="5"/>
        <v>1</v>
      </c>
    </row>
    <row r="32" spans="1:29" ht="15">
      <c r="A32" s="391" t="s">
        <v>1694</v>
      </c>
      <c r="B32" s="63" t="s">
        <v>1784</v>
      </c>
      <c r="C32" s="1908" t="s">
        <v>3477</v>
      </c>
      <c r="D32" s="418">
        <v>100</v>
      </c>
      <c r="E32" s="1908" t="s">
        <v>3477</v>
      </c>
      <c r="F32" s="412">
        <f>SUMIF(100:100,E32,101:101)-SUMIF(100:100,C32,101:101)+100</f>
        <v>100</v>
      </c>
      <c r="G32" s="1908" t="s">
        <v>3477</v>
      </c>
      <c r="H32" s="386">
        <f>SUMIF(100:100,G32,101:101)-SUMIF(100:100,C32,101:101)+100</f>
        <v>100</v>
      </c>
      <c r="I32" s="1908" t="s">
        <v>3477</v>
      </c>
      <c r="J32" s="418">
        <f>SUMIF(100:100,I32,101:101)-SUMIF(100:100,C32,101:101)+100</f>
        <v>100</v>
      </c>
      <c r="K32" s="561">
        <v>5</v>
      </c>
      <c r="L32" s="2719"/>
      <c r="M32" s="2713"/>
      <c r="N32" s="2713"/>
      <c r="O32" s="2713"/>
      <c r="P32" s="3690" t="s">
        <v>1696</v>
      </c>
      <c r="Q32" s="3457" t="str">
        <f t="shared" si="11"/>
        <v>商业类型</v>
      </c>
      <c r="R32" s="703" t="s">
        <v>14</v>
      </c>
      <c r="S32" s="704">
        <f t="shared" si="12"/>
        <v>100</v>
      </c>
      <c r="T32" s="703" t="s">
        <v>14</v>
      </c>
      <c r="U32" s="704">
        <f t="shared" si="13"/>
        <v>100</v>
      </c>
      <c r="V32" s="703" t="s">
        <v>14</v>
      </c>
      <c r="W32" s="704">
        <f t="shared" si="14"/>
        <v>100</v>
      </c>
      <c r="X32" s="3461"/>
      <c r="Y32" s="3693" t="s">
        <v>1696</v>
      </c>
      <c r="Z32" s="3460" t="str">
        <f t="shared" si="15"/>
        <v>商业类型</v>
      </c>
      <c r="AA32" s="3458">
        <f t="shared" si="3"/>
        <v>1</v>
      </c>
      <c r="AB32" s="3458">
        <f t="shared" si="4"/>
        <v>1</v>
      </c>
      <c r="AC32" s="3458">
        <f t="shared" si="5"/>
        <v>1</v>
      </c>
    </row>
    <row r="33" spans="1:29" s="422" customFormat="1" ht="15">
      <c r="A33" s="419"/>
      <c r="B33" s="375" t="s">
        <v>1697</v>
      </c>
      <c r="C33" s="420">
        <f>'数据-基础表'!I13</f>
        <v>554.57000000000005</v>
      </c>
      <c r="D33" s="127">
        <v>100</v>
      </c>
      <c r="E33" s="381">
        <v>200</v>
      </c>
      <c r="F33" s="376">
        <f>LOOKUP(E33,103:103,104:104)-LOOKUP(C33,103:103,104:104)+100</f>
        <v>102</v>
      </c>
      <c r="G33" s="380">
        <v>398.56</v>
      </c>
      <c r="H33" s="127">
        <f>LOOKUP(G33,103:103,104:104)-LOOKUP(C33,103:103,104:104)+100</f>
        <v>100</v>
      </c>
      <c r="I33" s="380">
        <v>202.08</v>
      </c>
      <c r="J33" s="127">
        <f>LOOKUP(I33,103:103,104:104)-LOOKUP(C33,103:103,104:104)+100</f>
        <v>102</v>
      </c>
      <c r="K33" s="562"/>
      <c r="L33" s="2718"/>
      <c r="M33" s="2720"/>
      <c r="N33" s="2720"/>
      <c r="O33" s="2720"/>
      <c r="P33" s="3691"/>
      <c r="Q33" s="705" t="str">
        <f t="shared" si="11"/>
        <v>项目建筑规模</v>
      </c>
      <c r="R33" s="706" t="s">
        <v>14</v>
      </c>
      <c r="S33" s="707">
        <f t="shared" si="12"/>
        <v>102</v>
      </c>
      <c r="T33" s="706" t="s">
        <v>14</v>
      </c>
      <c r="U33" s="707">
        <f t="shared" si="13"/>
        <v>100</v>
      </c>
      <c r="V33" s="706" t="s">
        <v>14</v>
      </c>
      <c r="W33" s="707">
        <f t="shared" si="14"/>
        <v>102</v>
      </c>
      <c r="X33" s="708"/>
      <c r="Y33" s="3693"/>
      <c r="Z33" s="709" t="str">
        <f t="shared" si="15"/>
        <v>项目建筑规模</v>
      </c>
      <c r="AA33" s="3458">
        <f t="shared" si="3"/>
        <v>0.98039215686274506</v>
      </c>
      <c r="AB33" s="3458">
        <f t="shared" si="4"/>
        <v>1</v>
      </c>
      <c r="AC33" s="3458">
        <f t="shared" si="5"/>
        <v>0.98039215686274506</v>
      </c>
    </row>
    <row r="34" spans="1:29" ht="15">
      <c r="A34" s="423"/>
      <c r="B34" s="375" t="s">
        <v>1698</v>
      </c>
      <c r="C34" s="1910" t="s">
        <v>3392</v>
      </c>
      <c r="D34" s="386">
        <v>100</v>
      </c>
      <c r="E34" s="1910" t="s">
        <v>3392</v>
      </c>
      <c r="F34" s="412">
        <f>SUMIF(105:105,E34,106:106)-SUMIF(105:105,C34,106:106)+100</f>
        <v>100</v>
      </c>
      <c r="G34" s="1910" t="s">
        <v>3392</v>
      </c>
      <c r="H34" s="386">
        <f>SUMIF(105:105,G34,106:106)-SUMIF(105:105,C34,106:106)+100</f>
        <v>100</v>
      </c>
      <c r="I34" s="1910" t="s">
        <v>3392</v>
      </c>
      <c r="J34" s="386">
        <f>SUMIF(105:105,I34,106:106)-SUMIF(105:105,C34,106:106)+100</f>
        <v>100</v>
      </c>
      <c r="K34" s="561">
        <v>1</v>
      </c>
      <c r="L34" s="2719"/>
      <c r="M34" s="2713"/>
      <c r="N34" s="2713"/>
      <c r="O34" s="2713"/>
      <c r="P34" s="3691"/>
      <c r="Q34" s="3457" t="str">
        <f t="shared" si="11"/>
        <v>建筑结构</v>
      </c>
      <c r="R34" s="703" t="s">
        <v>14</v>
      </c>
      <c r="S34" s="704">
        <f t="shared" si="12"/>
        <v>100</v>
      </c>
      <c r="T34" s="703" t="s">
        <v>14</v>
      </c>
      <c r="U34" s="704">
        <f t="shared" si="13"/>
        <v>100</v>
      </c>
      <c r="V34" s="703" t="s">
        <v>14</v>
      </c>
      <c r="W34" s="704">
        <f t="shared" si="14"/>
        <v>100</v>
      </c>
      <c r="X34" s="3461"/>
      <c r="Y34" s="3693"/>
      <c r="Z34" s="3460" t="str">
        <f t="shared" si="15"/>
        <v>建筑结构</v>
      </c>
      <c r="AA34" s="3458">
        <f t="shared" si="3"/>
        <v>1</v>
      </c>
      <c r="AB34" s="3458">
        <f t="shared" si="4"/>
        <v>1</v>
      </c>
      <c r="AC34" s="3458">
        <f t="shared" si="5"/>
        <v>1</v>
      </c>
    </row>
    <row r="35" spans="1:29" ht="15">
      <c r="A35" s="423"/>
      <c r="B35" s="375" t="s">
        <v>1785</v>
      </c>
      <c r="C35" s="1904" t="s">
        <v>3406</v>
      </c>
      <c r="D35" s="386">
        <v>100</v>
      </c>
      <c r="E35" s="1904" t="s">
        <v>3406</v>
      </c>
      <c r="F35" s="412">
        <f>SUMIF(107:107,E35,108:108)-SUMIF(107:107,C35,108:108)+100</f>
        <v>100</v>
      </c>
      <c r="G35" s="1904" t="s">
        <v>3406</v>
      </c>
      <c r="H35" s="386">
        <f>SUMIF(107:107,G35,108:108)-SUMIF(107:107,C35,108:108)+100</f>
        <v>100</v>
      </c>
      <c r="I35" s="1904" t="s">
        <v>3406</v>
      </c>
      <c r="J35" s="386">
        <f>SUMIF(107:107,I35,108:108)-SUMIF(107:107,C35,108:108)+100</f>
        <v>100</v>
      </c>
      <c r="K35" s="561">
        <v>1</v>
      </c>
      <c r="L35" s="2719"/>
      <c r="M35" s="2713"/>
      <c r="N35" s="2713"/>
      <c r="O35" s="2713"/>
      <c r="P35" s="3691"/>
      <c r="Q35" s="3457" t="str">
        <f t="shared" si="11"/>
        <v>公共部分装修</v>
      </c>
      <c r="R35" s="703" t="s">
        <v>14</v>
      </c>
      <c r="S35" s="704">
        <f t="shared" si="12"/>
        <v>100</v>
      </c>
      <c r="T35" s="703" t="s">
        <v>14</v>
      </c>
      <c r="U35" s="704">
        <f t="shared" si="13"/>
        <v>100</v>
      </c>
      <c r="V35" s="703" t="s">
        <v>14</v>
      </c>
      <c r="W35" s="704">
        <f t="shared" si="14"/>
        <v>100</v>
      </c>
      <c r="X35" s="3461"/>
      <c r="Y35" s="3693"/>
      <c r="Z35" s="3460" t="str">
        <f t="shared" si="15"/>
        <v>公共部分装修</v>
      </c>
      <c r="AA35" s="3458">
        <f t="shared" si="3"/>
        <v>1</v>
      </c>
      <c r="AB35" s="3458">
        <f t="shared" si="4"/>
        <v>1</v>
      </c>
      <c r="AC35" s="3458">
        <f t="shared" si="5"/>
        <v>1</v>
      </c>
    </row>
    <row r="36" spans="1:29" ht="15">
      <c r="A36" s="423"/>
      <c r="B36" s="375" t="s">
        <v>1786</v>
      </c>
      <c r="C36" s="425">
        <f>'数据-取费表'!N6</f>
        <v>0.83</v>
      </c>
      <c r="D36" s="386">
        <v>100</v>
      </c>
      <c r="E36" s="425">
        <v>0.87</v>
      </c>
      <c r="F36" s="412">
        <f>LOOKUP(E36,110:110,111:111)-LOOKUP(C36,110:110,111:111)+100</f>
        <v>100</v>
      </c>
      <c r="G36" s="425">
        <v>0.72</v>
      </c>
      <c r="H36" s="412">
        <f>LOOKUP(G36,110:110,111:111)-LOOKUP(C36,110:110,111:111)+100</f>
        <v>98</v>
      </c>
      <c r="I36" s="425">
        <v>0.75</v>
      </c>
      <c r="J36" s="386">
        <f>LOOKUP(I36,110:110,111:111)-LOOKUP(C36,110:110,111:111)+100</f>
        <v>98</v>
      </c>
      <c r="K36" s="561">
        <v>2</v>
      </c>
      <c r="L36" s="2719"/>
      <c r="M36" s="2713"/>
      <c r="N36" s="2713"/>
      <c r="O36" s="2713"/>
      <c r="P36" s="3691"/>
      <c r="Q36" s="3457" t="str">
        <f t="shared" si="11"/>
        <v>成新度</v>
      </c>
      <c r="R36" s="703" t="s">
        <v>14</v>
      </c>
      <c r="S36" s="704">
        <f t="shared" si="12"/>
        <v>100</v>
      </c>
      <c r="T36" s="703" t="s">
        <v>14</v>
      </c>
      <c r="U36" s="704">
        <f t="shared" si="13"/>
        <v>98</v>
      </c>
      <c r="V36" s="703" t="s">
        <v>14</v>
      </c>
      <c r="W36" s="704">
        <f t="shared" si="14"/>
        <v>98</v>
      </c>
      <c r="X36" s="3461"/>
      <c r="Y36" s="3693"/>
      <c r="Z36" s="3460" t="str">
        <f t="shared" si="15"/>
        <v>成新度</v>
      </c>
      <c r="AA36" s="3458">
        <f t="shared" si="3"/>
        <v>1</v>
      </c>
      <c r="AB36" s="3458">
        <f t="shared" si="4"/>
        <v>1.0204081632653061</v>
      </c>
      <c r="AC36" s="3458">
        <f t="shared" si="5"/>
        <v>1.0204081632653061</v>
      </c>
    </row>
    <row r="37" spans="1:29" s="108" customFormat="1" ht="15" hidden="1">
      <c r="A37" s="424"/>
      <c r="B37" s="375" t="s">
        <v>1787</v>
      </c>
      <c r="C37" s="1904" t="s">
        <v>3476</v>
      </c>
      <c r="D37" s="127">
        <v>100</v>
      </c>
      <c r="E37" s="1904" t="s">
        <v>3476</v>
      </c>
      <c r="F37" s="412">
        <f>SUMIF(112:112,E37,113:113)-SUMIF(112:112,C37,113:113)+100</f>
        <v>100</v>
      </c>
      <c r="G37" s="1904" t="s">
        <v>3476</v>
      </c>
      <c r="H37" s="386">
        <f>SUMIF(112:112,G37,113:113)-SUMIF(112:112,C37,113:113)+100</f>
        <v>100</v>
      </c>
      <c r="I37" s="1904" t="s">
        <v>3476</v>
      </c>
      <c r="J37" s="386">
        <f>SUMIF(112:112,I37,113:113)-SUMIF(112:112,C37,113:113)+100</f>
        <v>100</v>
      </c>
      <c r="K37" s="561">
        <v>0</v>
      </c>
      <c r="L37" s="2714"/>
      <c r="M37" s="2715"/>
      <c r="N37" s="2715"/>
      <c r="O37" s="2715"/>
      <c r="P37" s="3691"/>
      <c r="Q37" s="3456" t="str">
        <f t="shared" si="11"/>
        <v>市政基础设施</v>
      </c>
      <c r="R37" s="699" t="s">
        <v>14</v>
      </c>
      <c r="S37" s="700">
        <f t="shared" si="12"/>
        <v>100</v>
      </c>
      <c r="T37" s="699" t="s">
        <v>14</v>
      </c>
      <c r="U37" s="700">
        <f t="shared" si="13"/>
        <v>100</v>
      </c>
      <c r="V37" s="699" t="s">
        <v>14</v>
      </c>
      <c r="W37" s="700">
        <f t="shared" si="14"/>
        <v>100</v>
      </c>
      <c r="X37" s="701"/>
      <c r="Y37" s="3693"/>
      <c r="Z37" s="3455" t="str">
        <f t="shared" si="15"/>
        <v>市政基础设施</v>
      </c>
      <c r="AA37" s="702">
        <f t="shared" si="3"/>
        <v>1</v>
      </c>
      <c r="AB37" s="702">
        <f t="shared" si="4"/>
        <v>1</v>
      </c>
      <c r="AC37" s="702">
        <f t="shared" si="5"/>
        <v>1</v>
      </c>
    </row>
    <row r="38" spans="1:29" ht="15">
      <c r="A38" s="423"/>
      <c r="B38" s="375" t="s">
        <v>1788</v>
      </c>
      <c r="C38" s="1904" t="s">
        <v>3412</v>
      </c>
      <c r="D38" s="386">
        <v>100</v>
      </c>
      <c r="E38" s="1904" t="s">
        <v>3412</v>
      </c>
      <c r="F38" s="412">
        <f>SUMIF(114:114,E38,115:115)-SUMIF(114:114,C38,115:115)+100</f>
        <v>100</v>
      </c>
      <c r="G38" s="1904" t="s">
        <v>3445</v>
      </c>
      <c r="H38" s="386">
        <f>SUMIF(114:114,G38,115:115)-SUMIF(114:114,C38,115:115)+100</f>
        <v>103</v>
      </c>
      <c r="I38" s="1904" t="s">
        <v>3412</v>
      </c>
      <c r="J38" s="386">
        <f>SUMIF(114:114,I38,115:115)-SUMIF(114:114,C38,115:115)+100</f>
        <v>100</v>
      </c>
      <c r="K38" s="561">
        <v>3</v>
      </c>
      <c r="L38" s="2719"/>
      <c r="M38" s="2713"/>
      <c r="N38" s="2713"/>
      <c r="O38" s="2713"/>
      <c r="P38" s="3691" t="s">
        <v>1696</v>
      </c>
      <c r="Q38" s="3457" t="str">
        <f t="shared" si="11"/>
        <v>业态</v>
      </c>
      <c r="R38" s="703" t="s">
        <v>14</v>
      </c>
      <c r="S38" s="704">
        <f t="shared" si="12"/>
        <v>100</v>
      </c>
      <c r="T38" s="703" t="s">
        <v>14</v>
      </c>
      <c r="U38" s="704">
        <f t="shared" si="13"/>
        <v>103</v>
      </c>
      <c r="V38" s="703" t="s">
        <v>14</v>
      </c>
      <c r="W38" s="704">
        <f t="shared" si="14"/>
        <v>100</v>
      </c>
      <c r="X38" s="3461"/>
      <c r="Y38" s="3693" t="s">
        <v>1696</v>
      </c>
      <c r="Z38" s="3460" t="str">
        <f t="shared" si="15"/>
        <v>业态</v>
      </c>
      <c r="AA38" s="3458">
        <f t="shared" si="3"/>
        <v>1</v>
      </c>
      <c r="AB38" s="3458">
        <f t="shared" si="4"/>
        <v>0.970873786407767</v>
      </c>
      <c r="AC38" s="3458">
        <f t="shared" si="5"/>
        <v>1</v>
      </c>
    </row>
    <row r="39" spans="1:29" ht="15" hidden="1">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91"/>
      <c r="Q39" s="3457" t="str">
        <f t="shared" si="11"/>
        <v>层高</v>
      </c>
      <c r="R39" s="703" t="s">
        <v>14</v>
      </c>
      <c r="S39" s="704">
        <f t="shared" si="12"/>
        <v>100</v>
      </c>
      <c r="T39" s="703" t="s">
        <v>14</v>
      </c>
      <c r="U39" s="704">
        <f t="shared" si="13"/>
        <v>100</v>
      </c>
      <c r="V39" s="703" t="s">
        <v>14</v>
      </c>
      <c r="W39" s="704">
        <f t="shared" si="14"/>
        <v>100</v>
      </c>
      <c r="X39" s="3461"/>
      <c r="Y39" s="3693"/>
      <c r="Z39" s="3460" t="str">
        <f t="shared" si="15"/>
        <v>层高</v>
      </c>
      <c r="AA39" s="3458">
        <f t="shared" si="3"/>
        <v>1</v>
      </c>
      <c r="AB39" s="3458">
        <f t="shared" si="4"/>
        <v>1</v>
      </c>
      <c r="AC39" s="3458">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691"/>
      <c r="Q40" s="3457" t="str">
        <f t="shared" si="11"/>
        <v>单套建筑面积</v>
      </c>
      <c r="R40" s="703" t="s">
        <v>14</v>
      </c>
      <c r="S40" s="704">
        <f t="shared" si="12"/>
        <v>100</v>
      </c>
      <c r="T40" s="703" t="s">
        <v>14</v>
      </c>
      <c r="U40" s="704">
        <f t="shared" si="13"/>
        <v>100</v>
      </c>
      <c r="V40" s="703" t="s">
        <v>14</v>
      </c>
      <c r="W40" s="704">
        <f t="shared" si="14"/>
        <v>100</v>
      </c>
      <c r="X40" s="3461"/>
      <c r="Y40" s="3693"/>
      <c r="Z40" s="3460" t="str">
        <f t="shared" si="15"/>
        <v>单套建筑面积</v>
      </c>
      <c r="AA40" s="3458">
        <f t="shared" si="3"/>
        <v>1</v>
      </c>
      <c r="AB40" s="3458">
        <f t="shared" si="4"/>
        <v>1</v>
      </c>
      <c r="AC40" s="3458">
        <f t="shared" si="5"/>
        <v>1</v>
      </c>
    </row>
    <row r="41" spans="1:29" s="422" customFormat="1" ht="15" hidden="1">
      <c r="A41" s="419"/>
      <c r="B41" s="345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1"/>
      <c r="Q41" s="705" t="str">
        <f t="shared" si="11"/>
        <v>进深比</v>
      </c>
      <c r="R41" s="706" t="s">
        <v>14</v>
      </c>
      <c r="S41" s="707">
        <f t="shared" si="12"/>
        <v>100</v>
      </c>
      <c r="T41" s="706" t="s">
        <v>14</v>
      </c>
      <c r="U41" s="707">
        <f t="shared" si="13"/>
        <v>100</v>
      </c>
      <c r="V41" s="706" t="s">
        <v>14</v>
      </c>
      <c r="W41" s="707">
        <f t="shared" si="14"/>
        <v>100</v>
      </c>
      <c r="X41" s="708"/>
      <c r="Y41" s="3693"/>
      <c r="Z41" s="709" t="str">
        <f t="shared" si="15"/>
        <v>进深比</v>
      </c>
      <c r="AA41" s="3458">
        <f t="shared" si="3"/>
        <v>1</v>
      </c>
      <c r="AB41" s="3458">
        <f t="shared" si="4"/>
        <v>1</v>
      </c>
      <c r="AC41" s="3458">
        <f t="shared" si="5"/>
        <v>1</v>
      </c>
    </row>
    <row r="42" spans="1:29" ht="15">
      <c r="A42" s="423"/>
      <c r="B42" s="375" t="s">
        <v>1792</v>
      </c>
      <c r="C42" s="1904" t="s">
        <v>3458</v>
      </c>
      <c r="D42" s="386">
        <v>100</v>
      </c>
      <c r="E42" s="1904" t="s">
        <v>3406</v>
      </c>
      <c r="F42" s="412">
        <f>SUMIF(122:122,E42,123:123)-SUMIF(122:122,C42,123:123)+100</f>
        <v>102</v>
      </c>
      <c r="G42" s="1904" t="s">
        <v>3458</v>
      </c>
      <c r="H42" s="386">
        <f>SUMIF(122:122,G42,123:123)-SUMIF(122:122,C42,123:123)+100</f>
        <v>100</v>
      </c>
      <c r="I42" s="1904" t="s">
        <v>3406</v>
      </c>
      <c r="J42" s="386">
        <f>SUMIF(122:122,I42,123:123)-SUMIF(122:122,C42,123:123)+100</f>
        <v>102</v>
      </c>
      <c r="K42" s="561">
        <v>1</v>
      </c>
      <c r="L42" s="2719"/>
      <c r="M42" s="2713"/>
      <c r="N42" s="2713"/>
      <c r="O42" s="2713"/>
      <c r="P42" s="3691"/>
      <c r="Q42" s="3457" t="str">
        <f t="shared" si="11"/>
        <v>内部装修</v>
      </c>
      <c r="R42" s="703" t="s">
        <v>14</v>
      </c>
      <c r="S42" s="704">
        <f t="shared" si="12"/>
        <v>102</v>
      </c>
      <c r="T42" s="703" t="s">
        <v>14</v>
      </c>
      <c r="U42" s="704">
        <f t="shared" si="13"/>
        <v>100</v>
      </c>
      <c r="V42" s="703" t="s">
        <v>14</v>
      </c>
      <c r="W42" s="704">
        <f t="shared" si="14"/>
        <v>102</v>
      </c>
      <c r="X42" s="3461"/>
      <c r="Y42" s="3693"/>
      <c r="Z42" s="3460" t="str">
        <f t="shared" si="15"/>
        <v>内部装修</v>
      </c>
      <c r="AA42" s="3458">
        <f t="shared" si="3"/>
        <v>0.98039215686274506</v>
      </c>
      <c r="AB42" s="3458">
        <f t="shared" si="4"/>
        <v>1</v>
      </c>
      <c r="AC42" s="3458">
        <f t="shared" si="5"/>
        <v>0.98039215686274506</v>
      </c>
    </row>
    <row r="43" spans="1:29" ht="15">
      <c r="A43" s="423"/>
      <c r="B43" s="375" t="s">
        <v>1707</v>
      </c>
      <c r="C43" s="1904" t="s">
        <v>3404</v>
      </c>
      <c r="D43" s="386">
        <v>100</v>
      </c>
      <c r="E43" s="1904" t="s">
        <v>3404</v>
      </c>
      <c r="F43" s="412">
        <f>SUMIF(124:124,E43,125:125)-SUMIF(124:124,C43,125:125)+100</f>
        <v>100</v>
      </c>
      <c r="G43" s="1904" t="s">
        <v>3404</v>
      </c>
      <c r="H43" s="386">
        <f>SUMIF(124:124,G43,125:125)-SUMIF(124:124,C43,125:125)+100</f>
        <v>100</v>
      </c>
      <c r="I43" s="1904" t="s">
        <v>3404</v>
      </c>
      <c r="J43" s="386">
        <f>SUMIF(124:124,I43,125:125)-SUMIF(124:124,C43,125:125)+100</f>
        <v>100</v>
      </c>
      <c r="K43" s="561">
        <v>1</v>
      </c>
      <c r="L43" s="2719"/>
      <c r="M43" s="2713"/>
      <c r="N43" s="2713"/>
      <c r="O43" s="2713"/>
      <c r="P43" s="3691"/>
      <c r="Q43" s="3457" t="str">
        <f t="shared" si="11"/>
        <v>内部装修维护情况</v>
      </c>
      <c r="R43" s="703" t="s">
        <v>14</v>
      </c>
      <c r="S43" s="704">
        <f t="shared" si="12"/>
        <v>100</v>
      </c>
      <c r="T43" s="703" t="s">
        <v>14</v>
      </c>
      <c r="U43" s="704">
        <f t="shared" si="13"/>
        <v>100</v>
      </c>
      <c r="V43" s="703" t="s">
        <v>14</v>
      </c>
      <c r="W43" s="704">
        <f t="shared" si="14"/>
        <v>100</v>
      </c>
      <c r="X43" s="3461"/>
      <c r="Y43" s="3693"/>
      <c r="Z43" s="3460" t="str">
        <f t="shared" si="15"/>
        <v>内部装修维护情况</v>
      </c>
      <c r="AA43" s="3458">
        <f t="shared" si="3"/>
        <v>1</v>
      </c>
      <c r="AB43" s="3458">
        <f t="shared" si="4"/>
        <v>1</v>
      </c>
      <c r="AC43" s="3458">
        <f t="shared" si="5"/>
        <v>1</v>
      </c>
    </row>
    <row r="44" spans="1:29" s="108" customFormat="1" ht="15">
      <c r="A44" s="424"/>
      <c r="B44" s="1131">
        <v>111</v>
      </c>
      <c r="C44" s="420">
        <v>2011</v>
      </c>
      <c r="D44" s="127">
        <v>100</v>
      </c>
      <c r="E44" s="385">
        <v>2015</v>
      </c>
      <c r="F44" s="376">
        <f>SUMIF(126:126,E44,127:127)-SUMIF(126:126,C44,127:127)+100</f>
        <v>100</v>
      </c>
      <c r="G44" s="385">
        <v>2006</v>
      </c>
      <c r="H44" s="127">
        <f>SUMIF(126:126,G44,127:127)-SUMIF(126:126,C44,127:127)+100</f>
        <v>100</v>
      </c>
      <c r="I44" s="385">
        <v>2008</v>
      </c>
      <c r="J44" s="127">
        <f>SUMIF(126:126,I44,127:127)-SUMIF(126:126,C44,127:127)+100</f>
        <v>100</v>
      </c>
      <c r="K44" s="562"/>
      <c r="L44" s="2714"/>
      <c r="M44" s="2715"/>
      <c r="N44" s="2715"/>
      <c r="O44" s="2715"/>
      <c r="P44" s="3691"/>
      <c r="Q44" s="3456">
        <f t="shared" si="11"/>
        <v>111</v>
      </c>
      <c r="R44" s="699" t="s">
        <v>14</v>
      </c>
      <c r="S44" s="700">
        <f t="shared" si="12"/>
        <v>100</v>
      </c>
      <c r="T44" s="699" t="s">
        <v>14</v>
      </c>
      <c r="U44" s="700">
        <f t="shared" si="13"/>
        <v>100</v>
      </c>
      <c r="V44" s="699" t="s">
        <v>14</v>
      </c>
      <c r="W44" s="700">
        <f t="shared" si="14"/>
        <v>100</v>
      </c>
      <c r="X44" s="701"/>
      <c r="Y44" s="3693"/>
      <c r="Z44" s="3455">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1"/>
      <c r="Q45" s="3457">
        <f t="shared" si="11"/>
        <v>111</v>
      </c>
      <c r="R45" s="703" t="s">
        <v>14</v>
      </c>
      <c r="S45" s="704">
        <f t="shared" si="12"/>
        <v>100</v>
      </c>
      <c r="T45" s="703" t="s">
        <v>14</v>
      </c>
      <c r="U45" s="704">
        <f t="shared" si="13"/>
        <v>100</v>
      </c>
      <c r="V45" s="703" t="s">
        <v>14</v>
      </c>
      <c r="W45" s="704">
        <f t="shared" si="14"/>
        <v>100</v>
      </c>
      <c r="X45" s="3461"/>
      <c r="Y45" s="3693"/>
      <c r="Z45" s="3460">
        <f t="shared" si="15"/>
        <v>111</v>
      </c>
      <c r="AA45" s="3458">
        <f t="shared" si="3"/>
        <v>1</v>
      </c>
      <c r="AB45" s="3458">
        <f t="shared" si="4"/>
        <v>1</v>
      </c>
      <c r="AC45" s="3458">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2"/>
      <c r="Q46" s="3457">
        <f t="shared" si="11"/>
        <v>111</v>
      </c>
      <c r="R46" s="703" t="s">
        <v>14</v>
      </c>
      <c r="S46" s="704">
        <f t="shared" si="12"/>
        <v>100</v>
      </c>
      <c r="T46" s="703" t="s">
        <v>14</v>
      </c>
      <c r="U46" s="704">
        <f t="shared" si="13"/>
        <v>100</v>
      </c>
      <c r="V46" s="703" t="s">
        <v>14</v>
      </c>
      <c r="W46" s="704">
        <f t="shared" si="14"/>
        <v>100</v>
      </c>
      <c r="X46" s="3461"/>
      <c r="Y46" s="3694"/>
      <c r="Z46" s="3460">
        <f t="shared" si="15"/>
        <v>111</v>
      </c>
      <c r="AA46" s="3458">
        <f t="shared" si="3"/>
        <v>1</v>
      </c>
      <c r="AB46" s="3458">
        <f t="shared" si="4"/>
        <v>1</v>
      </c>
      <c r="AC46" s="3458">
        <f t="shared" si="5"/>
        <v>1</v>
      </c>
    </row>
    <row r="47" spans="1:29" ht="15">
      <c r="A47" s="430" t="s">
        <v>1708</v>
      </c>
      <c r="B47" s="431"/>
      <c r="C47" s="1152" t="s">
        <v>0</v>
      </c>
      <c r="D47" s="1153"/>
      <c r="E47" s="1154">
        <v>7.5</v>
      </c>
      <c r="F47" s="1155"/>
      <c r="G47" s="1156">
        <v>6.4</v>
      </c>
      <c r="H47" s="1157"/>
      <c r="I47" s="1154">
        <v>7.3</v>
      </c>
      <c r="J47" s="1157"/>
      <c r="K47" s="712"/>
      <c r="L47" s="2721"/>
      <c r="M47" s="2722"/>
      <c r="N47" s="2713"/>
      <c r="O47" s="2722"/>
      <c r="P47" s="3695" t="str">
        <f>A47</f>
        <v>成交单价（元/平方米）</v>
      </c>
      <c r="Q47" s="3695"/>
      <c r="R47" s="3657">
        <f>E47</f>
        <v>7.5</v>
      </c>
      <c r="S47" s="3657"/>
      <c r="T47" s="3657">
        <f>G47</f>
        <v>6.4</v>
      </c>
      <c r="U47" s="3657"/>
      <c r="V47" s="3657">
        <f>I47</f>
        <v>7.3</v>
      </c>
      <c r="W47" s="3657"/>
      <c r="X47" s="688"/>
      <c r="Y47" s="710"/>
      <c r="Z47" s="688"/>
      <c r="AA47" s="688"/>
      <c r="AB47" s="688"/>
      <c r="AC47" s="688"/>
    </row>
    <row r="48" spans="1:29" ht="15.75" thickBot="1">
      <c r="A48" s="437" t="s">
        <v>1709</v>
      </c>
      <c r="B48" s="438"/>
      <c r="C48" s="1158">
        <f>R49</f>
        <v>6.1</v>
      </c>
      <c r="D48" s="2315" t="s">
        <v>2135</v>
      </c>
      <c r="E48" s="1159">
        <f>R48</f>
        <v>6.4</v>
      </c>
      <c r="F48" s="2316"/>
      <c r="G48" s="1158">
        <f>T48</f>
        <v>5.8</v>
      </c>
      <c r="H48" s="2316"/>
      <c r="I48" s="1159">
        <f>V48</f>
        <v>6.2</v>
      </c>
      <c r="J48" s="2316"/>
      <c r="K48" s="2318">
        <f>F48+H48+J48</f>
        <v>0</v>
      </c>
      <c r="L48" s="2721"/>
      <c r="M48" s="2722"/>
      <c r="N48" s="2713"/>
      <c r="O48" s="2722"/>
      <c r="P48" s="3695" t="str">
        <f>A48</f>
        <v>比较价值（元/平方米）</v>
      </c>
      <c r="Q48" s="3695"/>
      <c r="R48" s="3696">
        <f>IF(F1="售价",ROUND(PRODUCT(R47,AA7:AA46),0),ROUND(PRODUCT(R47,AA7:AA46),1))</f>
        <v>6.4</v>
      </c>
      <c r="S48" s="3696"/>
      <c r="T48" s="3696">
        <f>IF(F1="售价",ROUND(PRODUCT(T47,AB7:AB46),0),ROUND(PRODUCT(T47,AB7:AB46),1))</f>
        <v>5.8</v>
      </c>
      <c r="U48" s="3696"/>
      <c r="V48" s="3696">
        <f>IF(F1="售价",ROUND(PRODUCT(V47,AC7:AC46),0),ROUND(PRODUCT(V47,AC7:AC46),1))</f>
        <v>6.2</v>
      </c>
      <c r="W48" s="3696"/>
      <c r="X48" s="688"/>
      <c r="Y48" s="688"/>
      <c r="Z48" s="688"/>
      <c r="AA48" s="688"/>
      <c r="AB48" s="688"/>
      <c r="AC48" s="688"/>
    </row>
    <row r="49" spans="1:29" ht="15.75" thickBot="1">
      <c r="A49" s="441" t="s">
        <v>1794</v>
      </c>
      <c r="B49" s="442"/>
      <c r="C49" s="1161">
        <f>R49</f>
        <v>6.1</v>
      </c>
      <c r="D49" s="1161"/>
      <c r="E49" s="1161"/>
      <c r="F49" s="1161"/>
      <c r="G49" s="1161"/>
      <c r="H49" s="1161"/>
      <c r="I49" s="1161"/>
      <c r="J49" s="1161"/>
      <c r="K49" s="713"/>
      <c r="L49" s="2721"/>
      <c r="M49" s="2722"/>
      <c r="N49" s="2713"/>
      <c r="O49" s="2722"/>
      <c r="P49" s="3697" t="str">
        <f>A49</f>
        <v>估价对象XX用房的比较价值（楼面单价，元/平方米）</v>
      </c>
      <c r="Q49" s="3698"/>
      <c r="R49" s="3699">
        <f>IF(F1="售价",ROUND(IF(D48="简单平均",AVERAGE(R48:V48),R48*F48+T48*H48+V48*J48),0),ROUND(IF(D48="简单平均",AVERAGE(R48:V48),R48*F48+T48*H48+V48*J48),1))</f>
        <v>6.1</v>
      </c>
      <c r="S49" s="3699"/>
      <c r="T49" s="3699"/>
      <c r="U49" s="3699"/>
      <c r="V49" s="3699"/>
      <c r="W49" s="3699"/>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0.171875</v>
      </c>
      <c r="F52" s="449" t="str">
        <f>IF(OR(E52&gt;=0.3,E52&lt;=-0.3),"超过30%","")</f>
        <v/>
      </c>
      <c r="G52" s="448">
        <f>IF(G47&lt;G48,G48/G47-1,G47/G48-1)</f>
        <v>0.10344827586206895</v>
      </c>
      <c r="H52" s="449" t="str">
        <f>IF(OR(G52&gt;=0.3,G52&lt;=-0.3),"超过30%","")</f>
        <v/>
      </c>
      <c r="I52" s="448">
        <f>IF(I47&lt;I48,I48/I47-1,I47/I48-1)</f>
        <v>0.17741935483870952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0.10344827586206895</v>
      </c>
      <c r="F53" s="449" t="str">
        <f>IF(OR(E53&gt;=0.2,E53&lt;=-0.2),"超过20%","")</f>
        <v/>
      </c>
      <c r="G53" s="448">
        <f>IF(G48&lt;I48,I48/G48-1,G48/I48-1)</f>
        <v>6.8965517241379448E-2</v>
      </c>
      <c r="H53" s="449" t="str">
        <f>IF(OR(G53&gt;=0.2,G53&lt;=-0.2),"超过20%","")</f>
        <v/>
      </c>
      <c r="I53" s="448">
        <f>IF(I48&lt;E48,E48/I48-1,I48/E48-1)</f>
        <v>3.2258064516129004E-2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1713</v>
      </c>
      <c r="D54" s="450"/>
      <c r="E54" s="448">
        <f>IF(E47&lt;G47,G47/E47-1,E47/G47-1)</f>
        <v>0.171875</v>
      </c>
      <c r="F54" s="449" t="str">
        <f>IF(OR(E54&gt;=0.3,E54&lt;=-0.3),"超过30%","")</f>
        <v/>
      </c>
      <c r="G54" s="448">
        <f>IF(G47&lt;I47,I47/G47-1,G47/I47-1)</f>
        <v>0.140625</v>
      </c>
      <c r="H54" s="449" t="str">
        <f>IF(OR(G54&gt;=0.3,G54&lt;=-0.3),"超过30%","")</f>
        <v/>
      </c>
      <c r="I54" s="448">
        <f>IF(I47&lt;E47,E47/I47-1,I47/E47-1)</f>
        <v>2.7397260273972712E-2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1714</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2023-6</v>
      </c>
      <c r="D58" s="1183">
        <f>EDATE(C58,-1)</f>
        <v>45047</v>
      </c>
      <c r="E58" s="1183">
        <f t="shared" ref="E58:N58" si="16">EDATE(D58,-1)</f>
        <v>45017</v>
      </c>
      <c r="F58" s="1183">
        <f t="shared" si="16"/>
        <v>44986</v>
      </c>
      <c r="G58" s="1183">
        <f t="shared" si="16"/>
        <v>44958</v>
      </c>
      <c r="H58" s="1183">
        <f t="shared" si="16"/>
        <v>44927</v>
      </c>
      <c r="I58" s="1183">
        <f t="shared" si="16"/>
        <v>44896</v>
      </c>
      <c r="J58" s="1183">
        <f t="shared" si="16"/>
        <v>44866</v>
      </c>
      <c r="K58" s="1183">
        <f t="shared" si="16"/>
        <v>44835</v>
      </c>
      <c r="L58" s="1183">
        <f t="shared" si="16"/>
        <v>44805</v>
      </c>
      <c r="M58" s="1183">
        <f t="shared" si="16"/>
        <v>44774</v>
      </c>
      <c r="N58" s="1183">
        <f t="shared" si="16"/>
        <v>44743</v>
      </c>
      <c r="O58" s="1183">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47" t="s">
        <v>3400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3448</v>
      </c>
      <c r="D65" s="532" t="s">
        <v>3449</v>
      </c>
      <c r="E65" s="532" t="s">
        <v>3450</v>
      </c>
      <c r="F65" s="532" t="s">
        <v>3451</v>
      </c>
      <c r="G65" s="532" t="s">
        <v>3452</v>
      </c>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v>105</v>
      </c>
      <c r="E66" s="485">
        <v>110</v>
      </c>
      <c r="F66" s="485">
        <v>115</v>
      </c>
      <c r="G66" s="485">
        <v>120</v>
      </c>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50" t="s">
        <v>3425</v>
      </c>
      <c r="D86" s="3450" t="s">
        <v>3426</v>
      </c>
      <c r="E86" s="3450" t="s">
        <v>3428</v>
      </c>
      <c r="F86" s="3450" t="s">
        <v>3429</v>
      </c>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0" t="s">
        <v>3430</v>
      </c>
      <c r="D88" s="3450" t="s">
        <v>3431</v>
      </c>
      <c r="E88" s="3450" t="s">
        <v>3432</v>
      </c>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50" t="s">
        <v>3433</v>
      </c>
      <c r="D90" s="3450" t="s">
        <v>3431</v>
      </c>
      <c r="E90" s="3450" t="s">
        <v>3434</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6.5" thickTop="1" thickBot="1">
      <c r="A92" s="483"/>
      <c r="B92" s="487" t="str">
        <f>B28</f>
        <v>楼层</v>
      </c>
      <c r="C92" s="503" t="s">
        <v>3442</v>
      </c>
      <c r="D92" s="503" t="s">
        <v>3456</v>
      </c>
      <c r="E92" s="503" t="s">
        <v>3457</v>
      </c>
      <c r="F92" s="503" t="s">
        <v>3461</v>
      </c>
      <c r="G92" s="3450" t="s">
        <v>3470</v>
      </c>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6.5" thickTop="1" thickBot="1">
      <c r="A93" s="483"/>
      <c r="B93" s="492"/>
      <c r="C93" s="485">
        <v>100</v>
      </c>
      <c r="D93" s="485">
        <f>(C93+G93)/2</f>
        <v>75</v>
      </c>
      <c r="E93" s="485">
        <v>80</v>
      </c>
      <c r="F93" s="485">
        <f>(E93+C93)/2</f>
        <v>90</v>
      </c>
      <c r="G93" s="485">
        <v>50</v>
      </c>
      <c r="H93" s="503"/>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49" t="s">
        <v>3443</v>
      </c>
      <c r="D100" s="3449" t="s">
        <v>3479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200(含)-300</v>
      </c>
      <c r="G102" s="527" t="str">
        <f t="shared" si="23"/>
        <v>300(含)-</v>
      </c>
      <c r="H102" s="527" t="str">
        <f t="shared" si="23"/>
        <v>(含)-</v>
      </c>
      <c r="I102" s="527" t="str">
        <f t="shared" si="23"/>
        <v>(含)-</v>
      </c>
      <c r="J102" s="527" t="str">
        <f t="shared" si="23"/>
        <v>(含)-</v>
      </c>
      <c r="K102" s="527" t="str">
        <f t="shared" si="23"/>
        <v>(含)-</v>
      </c>
      <c r="L102" s="527"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200</v>
      </c>
      <c r="G103" s="544">
        <v>300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95</v>
      </c>
      <c r="E104" s="485">
        <f>D104-2</f>
        <v>93</v>
      </c>
      <c r="F104" s="485">
        <f t="shared" ref="F104:G104" si="24">E104-2</f>
        <v>91</v>
      </c>
      <c r="G104" s="485">
        <f t="shared" si="24"/>
        <v>89</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50" t="s">
        <v>3392</v>
      </c>
      <c r="D105" s="503" t="s">
        <v>3444</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50" t="s">
        <v>3407</v>
      </c>
      <c r="D107" s="3450" t="s">
        <v>3408</v>
      </c>
      <c r="E107" s="3450" t="s">
        <v>3409</v>
      </c>
      <c r="F107" s="3451" t="s">
        <v>3410</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50" t="s">
        <v>3415</v>
      </c>
      <c r="D112" s="3450" t="s">
        <v>3416</v>
      </c>
      <c r="E112" s="3450" t="s">
        <v>3417</v>
      </c>
      <c r="F112" s="3450" t="s">
        <v>3418</v>
      </c>
      <c r="G112" s="3450" t="s">
        <v>3419</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50" t="s">
        <v>3411</v>
      </c>
      <c r="D114" s="3450" t="s">
        <v>3413</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50" t="s">
        <v>3414</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50" t="s">
        <v>3407</v>
      </c>
      <c r="D122" s="3450" t="s">
        <v>3408</v>
      </c>
      <c r="E122" s="3450" t="s">
        <v>3409</v>
      </c>
      <c r="F122" s="3451" t="s">
        <v>3410</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5" sqref="T25"/>
    </sheetView>
  </sheetViews>
  <sheetFormatPr defaultColWidth="9" defaultRowHeight="12.75"/>
  <cols>
    <col min="1" max="1" width="12.75" style="130" customWidth="1"/>
    <col min="2" max="2" width="9.25" style="24" customWidth="1"/>
    <col min="3" max="3" width="9" style="24" customWidth="1"/>
    <col min="4" max="4" width="9" style="24"/>
    <col min="5" max="5" width="10.12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81" t="s">
        <v>2083</v>
      </c>
      <c r="C1" s="3774" t="s">
        <v>2084</v>
      </c>
      <c r="D1" s="3775"/>
      <c r="E1" s="3775"/>
      <c r="F1" s="3775"/>
      <c r="G1" s="3775"/>
      <c r="H1" s="3775"/>
      <c r="I1" s="3775"/>
      <c r="J1" s="3775"/>
      <c r="K1" s="3775"/>
      <c r="L1" s="3775"/>
      <c r="M1" s="3775"/>
      <c r="N1" s="3775"/>
      <c r="O1" s="3775"/>
      <c r="P1" s="3775"/>
      <c r="Q1" s="3775"/>
      <c r="R1" s="3775"/>
      <c r="S1" s="3776"/>
      <c r="T1" s="981" t="s">
        <v>2085</v>
      </c>
    </row>
    <row r="2" spans="1:45" s="654" customFormat="1" ht="25.5">
      <c r="A2" s="982"/>
      <c r="B2" s="650" t="s">
        <v>2086</v>
      </c>
      <c r="C2" s="651" t="str">
        <f t="shared" ref="C2:L2" si="0">C3&amp;"(含)"&amp;"-"&amp;D3</f>
        <v>0(含)-50</v>
      </c>
      <c r="D2" s="652" t="str">
        <f t="shared" si="0"/>
        <v>50(含)-100</v>
      </c>
      <c r="E2" s="652" t="str">
        <f t="shared" si="0"/>
        <v>100(含)-200</v>
      </c>
      <c r="F2" s="652" t="str">
        <f t="shared" si="0"/>
        <v>200(含)-300</v>
      </c>
      <c r="G2" s="652" t="str">
        <f t="shared" si="0"/>
        <v>300(含)-400</v>
      </c>
      <c r="H2" s="652" t="str">
        <f t="shared" si="0"/>
        <v>400(含)-500</v>
      </c>
      <c r="I2" s="652" t="str">
        <f t="shared" si="0"/>
        <v>500(含)-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50</v>
      </c>
      <c r="E3" s="656">
        <f>'比较法-商业'!E103</f>
        <v>100</v>
      </c>
      <c r="F3" s="656">
        <f>'比较法-商业'!F103</f>
        <v>200</v>
      </c>
      <c r="G3" s="656">
        <f>'比较法-商业'!G103</f>
        <v>300</v>
      </c>
      <c r="H3" s="656">
        <f>'比较法-商业'!H103</f>
        <v>400</v>
      </c>
      <c r="I3" s="656">
        <f>'比较法-商业'!I103</f>
        <v>500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95</v>
      </c>
      <c r="E4" s="987">
        <f>'比较法-商业'!E104</f>
        <v>93</v>
      </c>
      <c r="F4" s="987">
        <f>'比较法-商业'!F104</f>
        <v>91</v>
      </c>
      <c r="G4" s="987">
        <f>'比较法-商业'!G104</f>
        <v>89</v>
      </c>
      <c r="H4" s="987">
        <f>'比较法-商业'!H104</f>
        <v>87</v>
      </c>
      <c r="I4" s="987">
        <f>'比较法-商业'!I104</f>
        <v>85</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3453" t="s">
        <v>3436</v>
      </c>
      <c r="C5" s="993" t="str">
        <f>'比较法-商业'!C86</f>
        <v>多面临街</v>
      </c>
      <c r="D5" s="993" t="str">
        <f>'比较法-商业'!D86</f>
        <v>双面临街</v>
      </c>
      <c r="E5" s="993" t="str">
        <f>'比较法-商业'!E86</f>
        <v>单面临街</v>
      </c>
      <c r="F5" s="993" t="str">
        <f>'比较法-商业'!F86</f>
        <v>不临街</v>
      </c>
      <c r="G5" s="993">
        <f>'比较法-商业'!G86</f>
        <v>0</v>
      </c>
      <c r="H5" s="993">
        <f>'比较法-商业'!H86</f>
        <v>0</v>
      </c>
      <c r="I5" s="993">
        <f>'比较法-商业'!I86</f>
        <v>0</v>
      </c>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3454" t="s">
        <v>3437</v>
      </c>
      <c r="C7" s="902" t="str">
        <f>'比较法-商业'!C88</f>
        <v>较好</v>
      </c>
      <c r="D7" s="902" t="str">
        <f>'比较法-商业'!D88</f>
        <v>一般</v>
      </c>
      <c r="E7" s="902" t="str">
        <f>'比较法-商业'!E88</f>
        <v>较差</v>
      </c>
      <c r="F7" s="902">
        <f>'比较法-商业'!F88</f>
        <v>0</v>
      </c>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f ca="1">IF(D20="——",S22,S22-F20)</f>
        <v>2011</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f ca="1">ROUND(B20*10000/B22,0)</f>
        <v>22248</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903.91000000000008</v>
      </c>
      <c r="C22" s="3771" t="s">
        <v>27</v>
      </c>
      <c r="D22" s="3772"/>
      <c r="E22" s="3772"/>
      <c r="F22" s="3772"/>
      <c r="G22" s="3772"/>
      <c r="H22" s="3772"/>
      <c r="I22" s="3772"/>
      <c r="J22" s="3772"/>
      <c r="K22" s="3772"/>
      <c r="L22" s="3772"/>
      <c r="M22" s="3772"/>
      <c r="N22" s="3772"/>
      <c r="O22" s="3772"/>
      <c r="P22" s="3772"/>
      <c r="Q22" s="3773"/>
      <c r="R22" s="661">
        <f ca="1">ROUND(S22*10000/B22,0)</f>
        <v>22248</v>
      </c>
      <c r="S22" s="21">
        <f ca="1">SUM(S24:S10000)</f>
        <v>2011</v>
      </c>
    </row>
    <row r="23" spans="1:45" s="9" customFormat="1" ht="24">
      <c r="A23" s="8" t="s">
        <v>2098</v>
      </c>
      <c r="B23" s="8" t="s">
        <v>2099</v>
      </c>
      <c r="C23" s="8" t="s">
        <v>2100</v>
      </c>
      <c r="D23" s="8" t="str">
        <f>B5</f>
        <v>临街状况</v>
      </c>
      <c r="E23" s="8" t="s">
        <v>2100</v>
      </c>
      <c r="F23" s="8" t="str">
        <f>B7</f>
        <v>可视性</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'数据-基础表'!B3</f>
        <v>554.57000000000005</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21905</v>
      </c>
      <c r="S24" s="664">
        <f t="shared" ref="S24:S54" ca="1" si="11">ROUND(R24*B24/10000,0)</f>
        <v>1215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
        <v>3424</v>
      </c>
      <c r="B25" s="54">
        <v>349.34</v>
      </c>
      <c r="C25" s="21">
        <f>IF(B25="",1,(LOOKUP(B25,$3:$3,$4:$4)-LOOKUP($B$24,$3:$3,$4:$4)+100)/100)</f>
        <v>1.04</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22781</v>
      </c>
      <c r="S25" s="316">
        <f t="shared" ca="1" si="11"/>
        <v>796</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f ca="1">SUMIF(B6:B13,"&lt;&gt;#ref!",B6:B13)</f>
        <v>510</v>
      </c>
      <c r="C2" s="2143" t="s">
        <v>2074</v>
      </c>
      <c r="D2" s="2143" t="s">
        <v>2075</v>
      </c>
      <c r="E2" s="2610">
        <f ca="1">SUMIF(E6:E13,"&lt;&gt;#ref!",E6:E13)</f>
        <v>554.57000000000005</v>
      </c>
      <c r="F2" s="2790"/>
      <c r="G2" s="2790"/>
      <c r="H2" s="2790"/>
      <c r="I2" s="2790"/>
      <c r="J2" s="2790"/>
      <c r="K2" s="2790"/>
      <c r="L2" s="2790"/>
      <c r="M2" s="2790"/>
      <c r="N2" s="2790"/>
      <c r="O2" s="2790"/>
      <c r="P2" s="2790"/>
    </row>
    <row r="3" spans="1:16" ht="15.75">
      <c r="A3" s="2143" t="s">
        <v>2076</v>
      </c>
      <c r="B3" s="2600">
        <f ca="1">ROUND(B2*10000/E2,0)</f>
        <v>9196</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510</v>
      </c>
      <c r="C6" s="2143" t="s">
        <v>2074</v>
      </c>
      <c r="D6" s="2790"/>
      <c r="E6" s="2610">
        <f ca="1">SUMIF(INDIRECT("'"&amp;A6&amp;"'"&amp;"!C:C"),"建筑面积",INDIRECT("'"&amp;A6&amp;"'"&amp;"!D:D"))</f>
        <v>554.57000000000005</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84" t="s">
        <v>2607</v>
      </c>
      <c r="B20" s="3777" t="s">
        <v>2628</v>
      </c>
      <c r="C20" s="3100" t="s">
        <v>2439</v>
      </c>
      <c r="D20" s="3101"/>
      <c r="E20" s="3102">
        <v>1</v>
      </c>
      <c r="F20" s="3103" t="s">
        <v>2440</v>
      </c>
      <c r="G20" s="3103"/>
    </row>
    <row r="21" spans="1:13" ht="19.5" customHeight="1">
      <c r="A21" s="3785"/>
      <c r="B21" s="3778"/>
      <c r="C21" s="3104" t="s">
        <v>2441</v>
      </c>
      <c r="D21" s="3105"/>
      <c r="E21" s="3106">
        <v>1</v>
      </c>
      <c r="F21" s="3103" t="s">
        <v>2442</v>
      </c>
      <c r="G21" s="3103"/>
    </row>
    <row r="22" spans="1:13" ht="19.5" customHeight="1">
      <c r="A22" s="3785"/>
      <c r="B22" s="3778"/>
      <c r="C22" s="3104" t="s">
        <v>2443</v>
      </c>
      <c r="D22" s="3105"/>
      <c r="E22" s="3106">
        <v>0.9</v>
      </c>
      <c r="F22" s="3103" t="s">
        <v>2444</v>
      </c>
      <c r="G22" s="3103"/>
    </row>
    <row r="23" spans="1:13" ht="19.5" customHeight="1">
      <c r="A23" s="3785"/>
      <c r="B23" s="3778"/>
      <c r="C23" s="3104" t="s">
        <v>2445</v>
      </c>
      <c r="D23" s="3105"/>
      <c r="E23" s="3106">
        <v>0.9</v>
      </c>
      <c r="F23" s="3103" t="s">
        <v>2446</v>
      </c>
      <c r="G23" s="3103"/>
    </row>
    <row r="24" spans="1:13" ht="19.5" customHeight="1">
      <c r="A24" s="3785"/>
      <c r="B24" s="3778"/>
      <c r="C24" s="3104" t="s">
        <v>2447</v>
      </c>
      <c r="D24" s="3105"/>
      <c r="E24" s="3106">
        <v>0.8</v>
      </c>
      <c r="F24" s="3103" t="s">
        <v>2448</v>
      </c>
      <c r="G24" s="3103"/>
    </row>
    <row r="25" spans="1:13" ht="19.5" customHeight="1" thickBot="1">
      <c r="A25" s="3786"/>
      <c r="B25" s="3779"/>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80" t="s">
        <v>2631</v>
      </c>
      <c r="B27" s="3777" t="s">
        <v>2612</v>
      </c>
      <c r="C27" s="3100" t="s">
        <v>2452</v>
      </c>
      <c r="D27" s="3101"/>
      <c r="E27" s="3102">
        <v>1</v>
      </c>
      <c r="F27" s="3103" t="s">
        <v>2453</v>
      </c>
      <c r="G27" s="3103"/>
    </row>
    <row r="28" spans="1:13" ht="19.5" customHeight="1">
      <c r="A28" s="3781"/>
      <c r="B28" s="3778"/>
      <c r="C28" s="3104" t="s">
        <v>2454</v>
      </c>
      <c r="D28" s="3105"/>
      <c r="E28" s="3106">
        <v>1</v>
      </c>
      <c r="F28" s="3103" t="s">
        <v>2455</v>
      </c>
      <c r="G28" s="3103"/>
    </row>
    <row r="29" spans="1:13" ht="19.5" customHeight="1">
      <c r="A29" s="3781"/>
      <c r="B29" s="3778"/>
      <c r="C29" s="3104" t="s">
        <v>2456</v>
      </c>
      <c r="D29" s="3105"/>
      <c r="E29" s="3106">
        <v>0.8</v>
      </c>
      <c r="F29" s="3103" t="s">
        <v>2457</v>
      </c>
      <c r="G29" s="3103"/>
    </row>
    <row r="30" spans="1:13" ht="19.5" customHeight="1">
      <c r="A30" s="3781"/>
      <c r="B30" s="3778"/>
      <c r="C30" s="3104" t="s">
        <v>2458</v>
      </c>
      <c r="D30" s="3105"/>
      <c r="E30" s="3106">
        <v>0.8</v>
      </c>
      <c r="F30" s="3103" t="s">
        <v>2459</v>
      </c>
      <c r="G30" s="3103"/>
    </row>
    <row r="31" spans="1:13" ht="19.5" customHeight="1">
      <c r="A31" s="3781"/>
      <c r="B31" s="3778"/>
      <c r="C31" s="3104" t="s">
        <v>2460</v>
      </c>
      <c r="D31" s="3105"/>
      <c r="E31" s="3106">
        <v>0.8</v>
      </c>
      <c r="F31" s="3103" t="s">
        <v>2461</v>
      </c>
      <c r="G31" s="3103"/>
    </row>
    <row r="32" spans="1:13" ht="19.5" customHeight="1">
      <c r="A32" s="3781"/>
      <c r="B32" s="3778"/>
      <c r="C32" s="3104" t="s">
        <v>2462</v>
      </c>
      <c r="D32" s="3105"/>
      <c r="E32" s="3106">
        <v>0.7</v>
      </c>
      <c r="F32" s="3103" t="s">
        <v>2463</v>
      </c>
      <c r="G32" s="3103"/>
    </row>
    <row r="33" spans="1:7" ht="19.5" customHeight="1">
      <c r="A33" s="3781"/>
      <c r="B33" s="3778"/>
      <c r="C33" s="3104" t="s">
        <v>2464</v>
      </c>
      <c r="D33" s="3105"/>
      <c r="E33" s="3106">
        <v>0.8</v>
      </c>
      <c r="F33" s="3103" t="s">
        <v>2465</v>
      </c>
      <c r="G33" s="3103"/>
    </row>
    <row r="34" spans="1:7" ht="19.5" customHeight="1">
      <c r="A34" s="3781"/>
      <c r="B34" s="3778"/>
      <c r="C34" s="3104" t="s">
        <v>2466</v>
      </c>
      <c r="D34" s="3105"/>
      <c r="E34" s="3106">
        <v>0.6</v>
      </c>
      <c r="F34" s="3103" t="s">
        <v>2467</v>
      </c>
      <c r="G34" s="3103"/>
    </row>
    <row r="35" spans="1:7" ht="19.5" customHeight="1">
      <c r="A35" s="3781"/>
      <c r="B35" s="3778"/>
      <c r="C35" s="3104" t="s">
        <v>2468</v>
      </c>
      <c r="D35" s="3105"/>
      <c r="E35" s="3106">
        <v>0.2</v>
      </c>
      <c r="F35" s="3103" t="s">
        <v>2469</v>
      </c>
      <c r="G35" s="3103"/>
    </row>
    <row r="36" spans="1:7" ht="19.5" customHeight="1">
      <c r="A36" s="3781"/>
      <c r="B36" s="3778"/>
      <c r="C36" s="3104" t="s">
        <v>2470</v>
      </c>
      <c r="D36" s="3105"/>
      <c r="E36" s="3106">
        <v>0.2</v>
      </c>
      <c r="F36" s="3103" t="s">
        <v>2471</v>
      </c>
      <c r="G36" s="3103"/>
    </row>
    <row r="37" spans="1:7" ht="19.5" customHeight="1">
      <c r="A37" s="3781"/>
      <c r="B37" s="3783" t="s">
        <v>2632</v>
      </c>
      <c r="C37" s="3104" t="s">
        <v>2472</v>
      </c>
      <c r="D37" s="3105"/>
      <c r="E37" s="3106">
        <v>0.6</v>
      </c>
      <c r="F37" s="3103" t="s">
        <v>2473</v>
      </c>
      <c r="G37" s="3103"/>
    </row>
    <row r="38" spans="1:7" ht="19.5" customHeight="1">
      <c r="A38" s="3781"/>
      <c r="B38" s="3778"/>
      <c r="C38" s="3104" t="s">
        <v>2474</v>
      </c>
      <c r="D38" s="3105"/>
      <c r="E38" s="3106">
        <v>0.6</v>
      </c>
      <c r="F38" s="3103" t="s">
        <v>2475</v>
      </c>
      <c r="G38" s="3103"/>
    </row>
    <row r="39" spans="1:7" ht="19.5" customHeight="1" thickBot="1">
      <c r="A39" s="3782"/>
      <c r="B39" s="3779"/>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84" t="s">
        <v>2610</v>
      </c>
      <c r="B41" s="3777" t="s">
        <v>2634</v>
      </c>
      <c r="C41" s="3100" t="s">
        <v>2479</v>
      </c>
      <c r="D41" s="3101"/>
      <c r="E41" s="3102">
        <v>1</v>
      </c>
      <c r="F41" s="3103" t="s">
        <v>2480</v>
      </c>
      <c r="G41" s="3103"/>
    </row>
    <row r="42" spans="1:7" ht="19.5" customHeight="1">
      <c r="A42" s="3785"/>
      <c r="B42" s="3778"/>
      <c r="C42" s="3104" t="s">
        <v>2481</v>
      </c>
      <c r="D42" s="3105"/>
      <c r="E42" s="3106">
        <v>1</v>
      </c>
      <c r="F42" s="3103" t="s">
        <v>2482</v>
      </c>
      <c r="G42" s="3103"/>
    </row>
    <row r="43" spans="1:7" ht="19.5" customHeight="1">
      <c r="A43" s="3785"/>
      <c r="B43" s="3787"/>
      <c r="C43" s="3104" t="s">
        <v>2483</v>
      </c>
      <c r="D43" s="3105"/>
      <c r="E43" s="3106">
        <v>1.5</v>
      </c>
      <c r="F43" s="3103" t="s">
        <v>2484</v>
      </c>
      <c r="G43" s="3103"/>
    </row>
    <row r="44" spans="1:7" ht="19.5" customHeight="1">
      <c r="A44" s="3785"/>
      <c r="B44" s="3115" t="s">
        <v>2635</v>
      </c>
      <c r="C44" s="3104" t="s">
        <v>2636</v>
      </c>
      <c r="D44" s="3105"/>
      <c r="E44" s="3106">
        <v>2</v>
      </c>
      <c r="F44" s="3103" t="s">
        <v>2485</v>
      </c>
      <c r="G44" s="3103"/>
    </row>
    <row r="45" spans="1:7" ht="19.5" customHeight="1">
      <c r="A45" s="3785"/>
      <c r="B45" s="3783" t="s">
        <v>2637</v>
      </c>
      <c r="C45" s="3104" t="s">
        <v>2486</v>
      </c>
      <c r="D45" s="3105"/>
      <c r="E45" s="3106">
        <v>1</v>
      </c>
      <c r="F45" s="3103" t="s">
        <v>2487</v>
      </c>
      <c r="G45" s="3103"/>
    </row>
    <row r="46" spans="1:7" ht="19.5" customHeight="1">
      <c r="A46" s="3785"/>
      <c r="B46" s="3778"/>
      <c r="C46" s="3104" t="s">
        <v>2488</v>
      </c>
      <c r="D46" s="3105"/>
      <c r="E46" s="3106">
        <v>1</v>
      </c>
      <c r="F46" s="3103" t="s">
        <v>2489</v>
      </c>
      <c r="G46" s="3103"/>
    </row>
    <row r="47" spans="1:7" ht="19.5" customHeight="1">
      <c r="A47" s="3785"/>
      <c r="B47" s="3778"/>
      <c r="C47" s="3104" t="s">
        <v>2490</v>
      </c>
      <c r="D47" s="3105"/>
      <c r="E47" s="3106">
        <v>1</v>
      </c>
      <c r="F47" s="3103" t="s">
        <v>2491</v>
      </c>
      <c r="G47" s="3103"/>
    </row>
    <row r="48" spans="1:7" ht="19.5" customHeight="1">
      <c r="A48" s="3785"/>
      <c r="B48" s="3778"/>
      <c r="C48" s="3104" t="s">
        <v>2492</v>
      </c>
      <c r="D48" s="3105"/>
      <c r="E48" s="3106">
        <v>1</v>
      </c>
      <c r="F48" s="3103" t="s">
        <v>2493</v>
      </c>
      <c r="G48" s="3103"/>
    </row>
    <row r="49" spans="1:7" ht="19.5" customHeight="1">
      <c r="A49" s="3785"/>
      <c r="B49" s="3778"/>
      <c r="C49" s="3104" t="s">
        <v>2494</v>
      </c>
      <c r="D49" s="3105"/>
      <c r="E49" s="3106">
        <v>1</v>
      </c>
      <c r="F49" s="3103" t="s">
        <v>2495</v>
      </c>
      <c r="G49" s="3103"/>
    </row>
    <row r="50" spans="1:7" ht="19.5" customHeight="1">
      <c r="A50" s="3785"/>
      <c r="B50" s="3778"/>
      <c r="C50" s="3104" t="s">
        <v>2496</v>
      </c>
      <c r="D50" s="3105"/>
      <c r="E50" s="3106">
        <v>1</v>
      </c>
      <c r="F50" s="3103" t="s">
        <v>2497</v>
      </c>
      <c r="G50" s="3103"/>
    </row>
    <row r="51" spans="1:7" ht="19.5" customHeight="1" thickBot="1">
      <c r="A51" s="3786"/>
      <c r="B51" s="3779"/>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783" t="s">
        <v>2651</v>
      </c>
      <c r="C73" s="3089" t="s">
        <v>2652</v>
      </c>
      <c r="D73" s="3089" t="s">
        <v>2653</v>
      </c>
      <c r="E73" s="3115">
        <v>0.2</v>
      </c>
      <c r="F73" s="3115">
        <v>25</v>
      </c>
    </row>
    <row r="74" spans="1:7" ht="24">
      <c r="A74" s="3115">
        <v>2</v>
      </c>
      <c r="B74" s="3778"/>
      <c r="C74" s="3089" t="s">
        <v>2654</v>
      </c>
      <c r="D74" s="3089" t="s">
        <v>2655</v>
      </c>
      <c r="E74" s="3115">
        <v>0.2</v>
      </c>
      <c r="F74" s="3115">
        <v>25</v>
      </c>
    </row>
    <row r="75" spans="1:7" ht="24">
      <c r="A75" s="3115">
        <v>3</v>
      </c>
      <c r="B75" s="3778"/>
      <c r="C75" s="3089" t="s">
        <v>2656</v>
      </c>
      <c r="D75" s="3089" t="s">
        <v>2657</v>
      </c>
      <c r="E75" s="3115">
        <v>0.2</v>
      </c>
      <c r="F75" s="3115">
        <v>25</v>
      </c>
    </row>
    <row r="76" spans="1:7" ht="13.5">
      <c r="A76" s="3115">
        <v>4</v>
      </c>
      <c r="B76" s="3778"/>
      <c r="C76" s="3089" t="s">
        <v>2658</v>
      </c>
      <c r="D76" s="3089" t="s">
        <v>2659</v>
      </c>
      <c r="E76" s="3115">
        <v>0.15</v>
      </c>
      <c r="F76" s="3115">
        <v>20</v>
      </c>
    </row>
    <row r="77" spans="1:7" ht="24">
      <c r="A77" s="3115">
        <v>5</v>
      </c>
      <c r="B77" s="3778"/>
      <c r="C77" s="3089" t="s">
        <v>2660</v>
      </c>
      <c r="D77" s="3089" t="s">
        <v>2661</v>
      </c>
      <c r="E77" s="3115">
        <v>0.15</v>
      </c>
      <c r="F77" s="3115">
        <v>20</v>
      </c>
    </row>
    <row r="78" spans="1:7" ht="24">
      <c r="A78" s="3115">
        <v>6</v>
      </c>
      <c r="B78" s="3778"/>
      <c r="C78" s="3089" t="s">
        <v>2662</v>
      </c>
      <c r="D78" s="3089" t="s">
        <v>2663</v>
      </c>
      <c r="E78" s="3115">
        <v>0.15</v>
      </c>
      <c r="F78" s="3115">
        <v>20</v>
      </c>
    </row>
    <row r="79" spans="1:7" ht="24">
      <c r="A79" s="3115">
        <v>7</v>
      </c>
      <c r="B79" s="3778"/>
      <c r="C79" s="3089" t="s">
        <v>2664</v>
      </c>
      <c r="D79" s="3089" t="s">
        <v>2665</v>
      </c>
      <c r="E79" s="3115">
        <v>0.15</v>
      </c>
      <c r="F79" s="3115">
        <v>20</v>
      </c>
    </row>
    <row r="80" spans="1:7" ht="24">
      <c r="A80" s="3115">
        <v>8</v>
      </c>
      <c r="B80" s="3778"/>
      <c r="C80" s="3089" t="s">
        <v>2666</v>
      </c>
      <c r="D80" s="3089" t="s">
        <v>2667</v>
      </c>
      <c r="E80" s="3115">
        <v>0.1</v>
      </c>
      <c r="F80" s="3115">
        <v>15</v>
      </c>
    </row>
    <row r="81" spans="1:6" ht="24">
      <c r="A81" s="3115">
        <v>9</v>
      </c>
      <c r="B81" s="3778"/>
      <c r="C81" s="3089" t="s">
        <v>2668</v>
      </c>
      <c r="D81" s="3089" t="s">
        <v>2669</v>
      </c>
      <c r="E81" s="3115">
        <v>0.1</v>
      </c>
      <c r="F81" s="3115">
        <v>15</v>
      </c>
    </row>
    <row r="82" spans="1:6" ht="24">
      <c r="A82" s="3115">
        <v>10</v>
      </c>
      <c r="B82" s="3778"/>
      <c r="C82" s="3089" t="s">
        <v>2670</v>
      </c>
      <c r="D82" s="3089" t="s">
        <v>2671</v>
      </c>
      <c r="E82" s="3115">
        <v>0.1</v>
      </c>
      <c r="F82" s="3115">
        <v>15</v>
      </c>
    </row>
    <row r="83" spans="1:6" ht="24">
      <c r="A83" s="3115">
        <v>11</v>
      </c>
      <c r="B83" s="3778"/>
      <c r="C83" s="3089" t="s">
        <v>2672</v>
      </c>
      <c r="D83" s="3089" t="s">
        <v>2673</v>
      </c>
      <c r="E83" s="3115">
        <v>0.1</v>
      </c>
      <c r="F83" s="3115">
        <v>15</v>
      </c>
    </row>
    <row r="84" spans="1:6" ht="24">
      <c r="A84" s="3115">
        <v>12</v>
      </c>
      <c r="B84" s="3778"/>
      <c r="C84" s="3089" t="s">
        <v>2674</v>
      </c>
      <c r="D84" s="3089" t="s">
        <v>2675</v>
      </c>
      <c r="E84" s="3115">
        <v>0.1</v>
      </c>
      <c r="F84" s="3115">
        <v>15</v>
      </c>
    </row>
    <row r="85" spans="1:6" ht="13.5">
      <c r="A85" s="3115">
        <v>13</v>
      </c>
      <c r="B85" s="3778"/>
      <c r="C85" s="3089" t="s">
        <v>2676</v>
      </c>
      <c r="D85" s="3089" t="s">
        <v>2677</v>
      </c>
      <c r="E85" s="3115">
        <v>0.1</v>
      </c>
      <c r="F85" s="3115">
        <v>15</v>
      </c>
    </row>
    <row r="86" spans="1:6" ht="13.5">
      <c r="A86" s="3115">
        <v>14</v>
      </c>
      <c r="B86" s="3778"/>
      <c r="C86" s="3089" t="s">
        <v>2678</v>
      </c>
      <c r="D86" s="3089" t="s">
        <v>2679</v>
      </c>
      <c r="E86" s="3115">
        <v>0.1</v>
      </c>
      <c r="F86" s="3115">
        <v>15</v>
      </c>
    </row>
    <row r="87" spans="1:6" ht="13.5">
      <c r="A87" s="3115">
        <v>15</v>
      </c>
      <c r="B87" s="3778"/>
      <c r="C87" s="3089" t="s">
        <v>2680</v>
      </c>
      <c r="D87" s="3089" t="s">
        <v>2681</v>
      </c>
      <c r="E87" s="3115">
        <v>0.1</v>
      </c>
      <c r="F87" s="3115">
        <v>15</v>
      </c>
    </row>
    <row r="88" spans="1:6" ht="24">
      <c r="A88" s="3115">
        <v>16</v>
      </c>
      <c r="B88" s="3778"/>
      <c r="C88" s="3089" t="s">
        <v>2682</v>
      </c>
      <c r="D88" s="3089" t="s">
        <v>2683</v>
      </c>
      <c r="E88" s="3115">
        <v>0.1</v>
      </c>
      <c r="F88" s="3115">
        <v>15</v>
      </c>
    </row>
    <row r="89" spans="1:6" ht="24">
      <c r="A89" s="3115">
        <v>17</v>
      </c>
      <c r="B89" s="3787"/>
      <c r="C89" s="3089" t="s">
        <v>2684</v>
      </c>
      <c r="D89" s="3089" t="s">
        <v>2685</v>
      </c>
      <c r="E89" s="3115">
        <v>0.1</v>
      </c>
      <c r="F89" s="3115">
        <v>15</v>
      </c>
    </row>
    <row r="90" spans="1:6" ht="13.5">
      <c r="A90" s="3115">
        <v>18</v>
      </c>
      <c r="B90" s="3783" t="s">
        <v>2686</v>
      </c>
      <c r="C90" s="3089" t="s">
        <v>2687</v>
      </c>
      <c r="D90" s="3089" t="s">
        <v>2688</v>
      </c>
      <c r="E90" s="3115">
        <v>0.2</v>
      </c>
      <c r="F90" s="3115">
        <v>25</v>
      </c>
    </row>
    <row r="91" spans="1:6" ht="24">
      <c r="A91" s="3115">
        <v>19</v>
      </c>
      <c r="B91" s="3778"/>
      <c r="C91" s="3089" t="s">
        <v>2689</v>
      </c>
      <c r="D91" s="3089" t="s">
        <v>2690</v>
      </c>
      <c r="E91" s="3115">
        <v>0.2</v>
      </c>
      <c r="F91" s="3115">
        <v>25</v>
      </c>
    </row>
    <row r="92" spans="1:6" ht="13.5">
      <c r="A92" s="3115">
        <v>20</v>
      </c>
      <c r="B92" s="3778"/>
      <c r="C92" s="3089" t="s">
        <v>2691</v>
      </c>
      <c r="D92" s="3089" t="s">
        <v>2692</v>
      </c>
      <c r="E92" s="3115">
        <v>0.15</v>
      </c>
      <c r="F92" s="3115">
        <v>20</v>
      </c>
    </row>
    <row r="93" spans="1:6" ht="13.5">
      <c r="A93" s="3115">
        <v>21</v>
      </c>
      <c r="B93" s="3778"/>
      <c r="C93" s="3089" t="s">
        <v>2693</v>
      </c>
      <c r="D93" s="3089" t="s">
        <v>2694</v>
      </c>
      <c r="E93" s="3115">
        <v>0.15</v>
      </c>
      <c r="F93" s="3115">
        <v>20</v>
      </c>
    </row>
    <row r="94" spans="1:6" ht="13.5">
      <c r="A94" s="3115">
        <v>22</v>
      </c>
      <c r="B94" s="3778"/>
      <c r="C94" s="3089" t="s">
        <v>2695</v>
      </c>
      <c r="D94" s="3089" t="s">
        <v>2696</v>
      </c>
      <c r="E94" s="3115">
        <v>0.15</v>
      </c>
      <c r="F94" s="3115">
        <v>20</v>
      </c>
    </row>
    <row r="95" spans="1:6" ht="36">
      <c r="A95" s="3115">
        <v>23</v>
      </c>
      <c r="B95" s="3778"/>
      <c r="C95" s="3089" t="s">
        <v>2697</v>
      </c>
      <c r="D95" s="3089" t="s">
        <v>2698</v>
      </c>
      <c r="E95" s="3115">
        <v>0.15</v>
      </c>
      <c r="F95" s="3115">
        <v>20</v>
      </c>
    </row>
    <row r="96" spans="1:6" ht="13.5">
      <c r="A96" s="3115">
        <v>24</v>
      </c>
      <c r="B96" s="3778"/>
      <c r="C96" s="3089" t="s">
        <v>2699</v>
      </c>
      <c r="D96" s="3089" t="s">
        <v>2700</v>
      </c>
      <c r="E96" s="3115">
        <v>0.1</v>
      </c>
      <c r="F96" s="3115">
        <v>15</v>
      </c>
    </row>
    <row r="97" spans="1:6" ht="13.5">
      <c r="A97" s="3115">
        <v>25</v>
      </c>
      <c r="B97" s="3778"/>
      <c r="C97" s="3089" t="s">
        <v>2701</v>
      </c>
      <c r="D97" s="3089" t="s">
        <v>2702</v>
      </c>
      <c r="E97" s="3115">
        <v>0.1</v>
      </c>
      <c r="F97" s="3115">
        <v>15</v>
      </c>
    </row>
    <row r="98" spans="1:6" ht="24">
      <c r="A98" s="3115">
        <v>26</v>
      </c>
      <c r="B98" s="3778"/>
      <c r="C98" s="3089" t="s">
        <v>2703</v>
      </c>
      <c r="D98" s="3089" t="s">
        <v>2704</v>
      </c>
      <c r="E98" s="3115">
        <v>0.1</v>
      </c>
      <c r="F98" s="3115">
        <v>15</v>
      </c>
    </row>
    <row r="99" spans="1:6" ht="24">
      <c r="A99" s="3115">
        <v>27</v>
      </c>
      <c r="B99" s="3778"/>
      <c r="C99" s="3089" t="s">
        <v>2705</v>
      </c>
      <c r="D99" s="3089" t="s">
        <v>2706</v>
      </c>
      <c r="E99" s="3115">
        <v>0.1</v>
      </c>
      <c r="F99" s="3115">
        <v>15</v>
      </c>
    </row>
    <row r="100" spans="1:6" ht="13.5">
      <c r="A100" s="3115">
        <v>28</v>
      </c>
      <c r="B100" s="3778"/>
      <c r="C100" s="3089" t="s">
        <v>2707</v>
      </c>
      <c r="D100" s="3089" t="s">
        <v>2708</v>
      </c>
      <c r="E100" s="3115">
        <v>0.1</v>
      </c>
      <c r="F100" s="3115">
        <v>15</v>
      </c>
    </row>
    <row r="101" spans="1:6" ht="13.5">
      <c r="A101" s="3115">
        <v>29</v>
      </c>
      <c r="B101" s="3778"/>
      <c r="C101" s="3089" t="s">
        <v>2709</v>
      </c>
      <c r="D101" s="3089" t="s">
        <v>2710</v>
      </c>
      <c r="E101" s="3115">
        <v>0.1</v>
      </c>
      <c r="F101" s="3115">
        <v>15</v>
      </c>
    </row>
    <row r="102" spans="1:6" ht="13.5">
      <c r="A102" s="3115">
        <v>30</v>
      </c>
      <c r="B102" s="3778"/>
      <c r="C102" s="3089" t="s">
        <v>2711</v>
      </c>
      <c r="D102" s="3089" t="s">
        <v>2712</v>
      </c>
      <c r="E102" s="3115">
        <v>0.1</v>
      </c>
      <c r="F102" s="3115">
        <v>15</v>
      </c>
    </row>
    <row r="103" spans="1:6" ht="24">
      <c r="A103" s="3115">
        <v>31</v>
      </c>
      <c r="B103" s="3778"/>
      <c r="C103" s="3089" t="s">
        <v>2713</v>
      </c>
      <c r="D103" s="3089" t="s">
        <v>2714</v>
      </c>
      <c r="E103" s="3115">
        <v>0.1</v>
      </c>
      <c r="F103" s="3115">
        <v>15</v>
      </c>
    </row>
    <row r="104" spans="1:6" ht="24">
      <c r="A104" s="3115">
        <v>32</v>
      </c>
      <c r="B104" s="3778"/>
      <c r="C104" s="3089" t="s">
        <v>2715</v>
      </c>
      <c r="D104" s="3089" t="s">
        <v>2716</v>
      </c>
      <c r="E104" s="3115">
        <v>0.1</v>
      </c>
      <c r="F104" s="3115">
        <v>15</v>
      </c>
    </row>
    <row r="105" spans="1:6" ht="24">
      <c r="A105" s="3115">
        <v>33</v>
      </c>
      <c r="B105" s="3778"/>
      <c r="C105" s="3089" t="s">
        <v>2717</v>
      </c>
      <c r="D105" s="3089" t="s">
        <v>2718</v>
      </c>
      <c r="E105" s="3115">
        <v>0.1</v>
      </c>
      <c r="F105" s="3115">
        <v>15</v>
      </c>
    </row>
    <row r="106" spans="1:6" ht="24">
      <c r="A106" s="3115">
        <v>34</v>
      </c>
      <c r="B106" s="3787"/>
      <c r="C106" s="3089" t="s">
        <v>2719</v>
      </c>
      <c r="D106" s="3089" t="s">
        <v>2720</v>
      </c>
      <c r="E106" s="3115">
        <v>0.1</v>
      </c>
      <c r="F106" s="3115">
        <v>15</v>
      </c>
    </row>
    <row r="107" spans="1:6" ht="24">
      <c r="A107" s="3115">
        <v>35</v>
      </c>
      <c r="B107" s="3783" t="s">
        <v>2721</v>
      </c>
      <c r="C107" s="3115" t="s">
        <v>2722</v>
      </c>
      <c r="D107" s="3089" t="s">
        <v>2723</v>
      </c>
      <c r="E107" s="3115">
        <v>0.15</v>
      </c>
      <c r="F107" s="3115">
        <v>20</v>
      </c>
    </row>
    <row r="108" spans="1:6" ht="13.5">
      <c r="A108" s="3115">
        <v>36</v>
      </c>
      <c r="B108" s="3778"/>
      <c r="C108" s="3115" t="s">
        <v>2724</v>
      </c>
      <c r="D108" s="3089" t="s">
        <v>2725</v>
      </c>
      <c r="E108" s="3115">
        <v>0.15</v>
      </c>
      <c r="F108" s="3115">
        <v>20</v>
      </c>
    </row>
    <row r="109" spans="1:6" ht="13.5">
      <c r="A109" s="3115">
        <v>37</v>
      </c>
      <c r="B109" s="3778"/>
      <c r="C109" s="3115" t="s">
        <v>2726</v>
      </c>
      <c r="D109" s="3089" t="s">
        <v>2727</v>
      </c>
      <c r="E109" s="3115">
        <v>0.15</v>
      </c>
      <c r="F109" s="3115">
        <v>20</v>
      </c>
    </row>
    <row r="110" spans="1:6" ht="13.5">
      <c r="A110" s="3115">
        <v>38</v>
      </c>
      <c r="B110" s="3778"/>
      <c r="C110" s="3115" t="s">
        <v>2728</v>
      </c>
      <c r="D110" s="3089" t="s">
        <v>2729</v>
      </c>
      <c r="E110" s="3115">
        <v>0.1</v>
      </c>
      <c r="F110" s="3115">
        <v>15</v>
      </c>
    </row>
    <row r="111" spans="1:6" ht="24">
      <c r="A111" s="3115">
        <v>39</v>
      </c>
      <c r="B111" s="3778"/>
      <c r="C111" s="3115" t="s">
        <v>2730</v>
      </c>
      <c r="D111" s="3089" t="s">
        <v>2731</v>
      </c>
      <c r="E111" s="3115">
        <v>0.1</v>
      </c>
      <c r="F111" s="3115">
        <v>15</v>
      </c>
    </row>
    <row r="112" spans="1:6" ht="24">
      <c r="A112" s="3115">
        <v>40</v>
      </c>
      <c r="B112" s="3787"/>
      <c r="C112" s="3115" t="s">
        <v>2732</v>
      </c>
      <c r="D112" s="3089" t="s">
        <v>2733</v>
      </c>
      <c r="E112" s="3115">
        <v>0.1</v>
      </c>
      <c r="F112" s="3115">
        <v>15</v>
      </c>
    </row>
    <row r="113" spans="1:6" ht="13.5">
      <c r="A113" s="3115">
        <v>41</v>
      </c>
      <c r="B113" s="3788" t="s">
        <v>2734</v>
      </c>
      <c r="C113" s="3115" t="s">
        <v>2735</v>
      </c>
      <c r="D113" s="3089" t="s">
        <v>2736</v>
      </c>
      <c r="E113" s="3115">
        <v>0.1</v>
      </c>
      <c r="F113" s="3115">
        <v>15</v>
      </c>
    </row>
    <row r="114" spans="1:6" ht="13.5">
      <c r="A114" s="3115">
        <v>42</v>
      </c>
      <c r="B114" s="3788"/>
      <c r="C114" s="3115" t="s">
        <v>2737</v>
      </c>
      <c r="D114" s="3089" t="s">
        <v>2738</v>
      </c>
      <c r="E114" s="3115">
        <v>0.1</v>
      </c>
      <c r="F114" s="3115">
        <v>15</v>
      </c>
    </row>
    <row r="115" spans="1:6" ht="24">
      <c r="A115" s="3115">
        <v>43</v>
      </c>
      <c r="B115" s="3788"/>
      <c r="C115" s="3115" t="s">
        <v>2739</v>
      </c>
      <c r="D115" s="3089" t="s">
        <v>2740</v>
      </c>
      <c r="E115" s="3115">
        <v>0.1</v>
      </c>
      <c r="F115" s="3115">
        <v>15</v>
      </c>
    </row>
    <row r="116" spans="1:6" ht="13.5">
      <c r="A116" s="3115">
        <v>44</v>
      </c>
      <c r="B116" s="3783" t="s">
        <v>2741</v>
      </c>
      <c r="C116" s="3115" t="s">
        <v>2742</v>
      </c>
      <c r="D116" s="3089" t="s">
        <v>2743</v>
      </c>
      <c r="E116" s="3115">
        <v>0.1</v>
      </c>
      <c r="F116" s="3115">
        <v>15</v>
      </c>
    </row>
    <row r="117" spans="1:6" ht="24">
      <c r="A117" s="3115">
        <v>45</v>
      </c>
      <c r="B117" s="3787"/>
      <c r="C117" s="3089" t="s">
        <v>2744</v>
      </c>
      <c r="D117" s="3089" t="s">
        <v>2745</v>
      </c>
      <c r="E117" s="3115">
        <v>0.1</v>
      </c>
      <c r="F117" s="3115">
        <v>15</v>
      </c>
    </row>
    <row r="118" spans="1:6" ht="24">
      <c r="A118" s="3115">
        <v>46</v>
      </c>
      <c r="B118" s="3783" t="s">
        <v>2746</v>
      </c>
      <c r="C118" s="3115" t="s">
        <v>2747</v>
      </c>
      <c r="D118" s="3089" t="s">
        <v>2748</v>
      </c>
      <c r="E118" s="3115">
        <v>0.1</v>
      </c>
      <c r="F118" s="3115">
        <v>15</v>
      </c>
    </row>
    <row r="119" spans="1:6" ht="24">
      <c r="A119" s="3115">
        <v>47</v>
      </c>
      <c r="B119" s="3787"/>
      <c r="C119" s="3115" t="s">
        <v>2749</v>
      </c>
      <c r="D119" s="3089" t="s">
        <v>2750</v>
      </c>
      <c r="E119" s="3115">
        <v>0.1</v>
      </c>
      <c r="F119" s="3115">
        <v>15</v>
      </c>
    </row>
    <row r="120" spans="1:6" ht="13.5">
      <c r="A120" s="3115">
        <v>48</v>
      </c>
      <c r="B120" s="3783" t="s">
        <v>2751</v>
      </c>
      <c r="C120" s="3115" t="s">
        <v>2752</v>
      </c>
      <c r="D120" s="3089" t="s">
        <v>2753</v>
      </c>
      <c r="E120" s="3115">
        <v>0.1</v>
      </c>
      <c r="F120" s="3115">
        <v>15</v>
      </c>
    </row>
    <row r="121" spans="1:6" ht="13.5">
      <c r="A121" s="3115">
        <v>49</v>
      </c>
      <c r="B121" s="3787"/>
      <c r="C121" s="3115" t="s">
        <v>2754</v>
      </c>
      <c r="D121" s="3089" t="s">
        <v>2755</v>
      </c>
      <c r="E121" s="3115">
        <v>0.1</v>
      </c>
      <c r="F121" s="3115">
        <v>15</v>
      </c>
    </row>
    <row r="122" spans="1:6" ht="24">
      <c r="A122" s="3115">
        <v>50</v>
      </c>
      <c r="B122" s="3788" t="s">
        <v>2756</v>
      </c>
      <c r="C122" s="3115" t="s">
        <v>2757</v>
      </c>
      <c r="D122" s="3089" t="s">
        <v>2758</v>
      </c>
      <c r="E122" s="3115">
        <v>0.1</v>
      </c>
      <c r="F122" s="3115">
        <v>15</v>
      </c>
    </row>
    <row r="123" spans="1:6" ht="24">
      <c r="A123" s="3115">
        <v>51</v>
      </c>
      <c r="B123" s="3788"/>
      <c r="C123" s="3115" t="s">
        <v>2759</v>
      </c>
      <c r="D123" s="3089" t="s">
        <v>2760</v>
      </c>
      <c r="E123" s="3115">
        <v>0.1</v>
      </c>
      <c r="F123" s="3115">
        <v>15</v>
      </c>
    </row>
    <row r="124" spans="1:6" ht="24">
      <c r="A124" s="3115">
        <v>52</v>
      </c>
      <c r="B124" s="3788" t="s">
        <v>2761</v>
      </c>
      <c r="C124" s="3115" t="s">
        <v>2762</v>
      </c>
      <c r="D124" s="3089" t="s">
        <v>2763</v>
      </c>
      <c r="E124" s="3115">
        <v>0.1</v>
      </c>
      <c r="F124" s="3115">
        <v>15</v>
      </c>
    </row>
    <row r="125" spans="1:6" ht="24">
      <c r="A125" s="3115">
        <v>53</v>
      </c>
      <c r="B125" s="3788"/>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788" t="s">
        <v>2769</v>
      </c>
      <c r="C127" s="3115" t="s">
        <v>2770</v>
      </c>
      <c r="D127" s="3089" t="s">
        <v>2771</v>
      </c>
      <c r="E127" s="3115">
        <v>0.1</v>
      </c>
      <c r="F127" s="3115">
        <v>15</v>
      </c>
    </row>
    <row r="128" spans="1:6" ht="13.5">
      <c r="A128" s="3115">
        <v>56</v>
      </c>
      <c r="B128" s="3788"/>
      <c r="C128" s="3115" t="s">
        <v>2772</v>
      </c>
      <c r="D128" s="3089" t="s">
        <v>2773</v>
      </c>
      <c r="E128" s="3115">
        <v>0.1</v>
      </c>
      <c r="F128" s="3115">
        <v>15</v>
      </c>
    </row>
    <row r="129" spans="1:6" ht="24">
      <c r="A129" s="3115">
        <v>57</v>
      </c>
      <c r="B129" s="3788"/>
      <c r="C129" s="3115" t="s">
        <v>2774</v>
      </c>
      <c r="D129" s="3089" t="s">
        <v>2775</v>
      </c>
      <c r="E129" s="3115">
        <v>0.1</v>
      </c>
      <c r="F129" s="3115">
        <v>15</v>
      </c>
    </row>
    <row r="130" spans="1:6" ht="24">
      <c r="A130" s="3115">
        <v>58</v>
      </c>
      <c r="B130" s="3788" t="s">
        <v>2776</v>
      </c>
      <c r="C130" s="3115" t="s">
        <v>2777</v>
      </c>
      <c r="D130" s="3089" t="s">
        <v>2778</v>
      </c>
      <c r="E130" s="3115">
        <v>0.1</v>
      </c>
      <c r="F130" s="3115">
        <v>15</v>
      </c>
    </row>
    <row r="131" spans="1:6" ht="13.5">
      <c r="A131" s="3115">
        <v>59</v>
      </c>
      <c r="B131" s="3788"/>
      <c r="C131" s="3115" t="s">
        <v>2779</v>
      </c>
      <c r="D131" s="3089" t="s">
        <v>2780</v>
      </c>
      <c r="E131" s="3115">
        <v>0.1</v>
      </c>
      <c r="F131" s="3115">
        <v>15</v>
      </c>
    </row>
    <row r="132" spans="1:6" ht="13.5">
      <c r="A132" s="3115">
        <v>60</v>
      </c>
      <c r="B132" s="3783" t="s">
        <v>2781</v>
      </c>
      <c r="C132" s="3115" t="s">
        <v>2782</v>
      </c>
      <c r="D132" s="3089" t="s">
        <v>2783</v>
      </c>
      <c r="E132" s="3115">
        <v>0.1</v>
      </c>
      <c r="F132" s="3115">
        <v>15</v>
      </c>
    </row>
    <row r="133" spans="1:6" ht="13.5">
      <c r="A133" s="3115">
        <v>61</v>
      </c>
      <c r="B133" s="3787"/>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788" t="s">
        <v>2789</v>
      </c>
      <c r="C135" s="3115" t="s">
        <v>2790</v>
      </c>
      <c r="D135" s="3089" t="s">
        <v>2791</v>
      </c>
      <c r="E135" s="3115">
        <v>0.1</v>
      </c>
      <c r="F135" s="3115">
        <v>15</v>
      </c>
    </row>
    <row r="136" spans="1:6" ht="13.5">
      <c r="A136" s="3115">
        <v>64</v>
      </c>
      <c r="B136" s="3788"/>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2798</v>
      </c>
      <c r="B1" s="3124"/>
      <c r="C1" s="3124"/>
      <c r="D1" s="3124"/>
      <c r="E1" s="3124"/>
      <c r="F1" s="3124"/>
      <c r="G1" s="3124"/>
      <c r="H1" s="3124"/>
      <c r="I1" s="3124"/>
      <c r="J1" s="3124"/>
      <c r="K1" s="3124"/>
      <c r="L1" s="3124"/>
      <c r="M1" s="3124"/>
      <c r="N1" s="747"/>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48">
        <f>SUMPRODUCT((A95:A184=ROUNDDOWN(基准地价修正!G3,1))*(B94:M94=基准地价修正!G2)*(B95:M184))</f>
        <v>1</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48">
        <f>SUMPRODUCT((A371:A460=ROUNDDOWN(基准地价修正!G3,1))*(B370:M370=基准地价修正!G2)*(B371:M460))</f>
        <v>0.95120000000000005</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1"/>
      <c r="B4" s="3472" t="s">
        <v>917</v>
      </c>
      <c r="C4" s="3472"/>
      <c r="D4" s="3472"/>
      <c r="E4" s="1491"/>
    </row>
    <row r="5" spans="1:5" ht="16.5" thickTop="1">
      <c r="A5" s="1489"/>
      <c r="B5" s="3470" t="s">
        <v>909</v>
      </c>
      <c r="C5" s="1492" t="s">
        <v>910</v>
      </c>
      <c r="D5" s="848">
        <f ca="1">结果表!H101</f>
        <v>1215</v>
      </c>
      <c r="E5" s="1489"/>
    </row>
    <row r="6" spans="1:5" ht="15.75">
      <c r="A6" s="1489"/>
      <c r="B6" s="3470"/>
      <c r="C6" s="1492" t="s">
        <v>911</v>
      </c>
      <c r="D6" s="848" t="str">
        <f ca="1">NUMBERSTRING(INT(D5*10000),2)&amp;"元整"</f>
        <v>壹仟贰佰壹拾伍万元整</v>
      </c>
      <c r="E6" s="1489"/>
    </row>
    <row r="7" spans="1:5" ht="15.75">
      <c r="A7" s="1489"/>
      <c r="B7" s="3475"/>
      <c r="C7" s="1493" t="s">
        <v>912</v>
      </c>
      <c r="D7" s="849">
        <f ca="1">结果表!H102</f>
        <v>21905</v>
      </c>
      <c r="E7" s="1489"/>
    </row>
    <row r="8" spans="1:5" ht="15.75">
      <c r="A8" s="1489"/>
      <c r="B8" s="3476" t="str">
        <f>结果表!E103</f>
        <v>2.估价师知悉的法定优先受偿款</v>
      </c>
      <c r="C8" s="1494" t="s">
        <v>913</v>
      </c>
      <c r="D8" s="849">
        <f>结果表!H103</f>
        <v>0</v>
      </c>
      <c r="E8" s="1489"/>
    </row>
    <row r="9" spans="1:5" ht="15.75">
      <c r="A9" s="1489"/>
      <c r="B9" s="347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9" t="str">
        <f>结果表!E107</f>
        <v>3.房地产抵押价值</v>
      </c>
      <c r="C13" s="1497" t="s">
        <v>910</v>
      </c>
      <c r="D13" s="851">
        <f ca="1">结果表!H107</f>
        <v>1215</v>
      </c>
      <c r="E13" s="1489"/>
    </row>
    <row r="14" spans="1:5" ht="15.75">
      <c r="A14" s="1489"/>
      <c r="B14" s="3470"/>
      <c r="C14" s="1492" t="s">
        <v>911</v>
      </c>
      <c r="D14" s="848" t="str">
        <f ca="1">NUMBERSTRING(INT(D13*10000),2)&amp;"元整"</f>
        <v>壹仟贰佰壹拾伍万元整</v>
      </c>
      <c r="E14" s="1489"/>
    </row>
    <row r="15" spans="1:5" ht="15">
      <c r="A15" s="1489"/>
      <c r="B15" s="3475"/>
      <c r="C15" s="1493" t="s">
        <v>921</v>
      </c>
      <c r="D15" s="857">
        <f ca="1">结果表!H108</f>
        <v>21905</v>
      </c>
      <c r="E15" s="1489"/>
    </row>
    <row r="16" spans="1:5" ht="15">
      <c r="A16" s="1489"/>
      <c r="B16" s="3476" t="str">
        <f>结果表!E109</f>
        <v>——</v>
      </c>
      <c r="C16" s="1497" t="s">
        <v>922</v>
      </c>
      <c r="D16" s="1498" t="str">
        <f>结果表!H109</f>
        <v>——</v>
      </c>
      <c r="E16" s="1489"/>
    </row>
    <row r="17" spans="1:5" ht="15.75">
      <c r="A17" s="1489"/>
      <c r="B17" s="3477"/>
      <c r="C17" s="1492" t="s">
        <v>923</v>
      </c>
      <c r="D17" s="848" t="e">
        <f>NUMBERSTRING(INT(D16*10000),2)&amp;"元整"</f>
        <v>#VALUE!</v>
      </c>
      <c r="E17" s="1489"/>
    </row>
    <row r="18" spans="1:5" ht="15">
      <c r="A18" s="1489"/>
      <c r="B18" s="3478"/>
      <c r="C18" s="1493" t="s">
        <v>912</v>
      </c>
      <c r="D18" s="857" t="str">
        <f>结果表!H110</f>
        <v>——</v>
      </c>
      <c r="E18" s="1489"/>
    </row>
    <row r="19" spans="1:5" ht="15.75">
      <c r="A19" s="1489"/>
      <c r="B19" s="3469" t="str">
        <f>结果表!E111</f>
        <v>——</v>
      </c>
      <c r="C19" s="1497" t="s">
        <v>910</v>
      </c>
      <c r="D19" s="849" t="str">
        <f>结果表!H111</f>
        <v>——</v>
      </c>
      <c r="E19" s="1489"/>
    </row>
    <row r="20" spans="1:5" ht="15.75">
      <c r="A20" s="1489"/>
      <c r="B20" s="3470"/>
      <c r="C20" s="1492" t="s">
        <v>923</v>
      </c>
      <c r="D20" s="848" t="e">
        <f>NUMBERSTRING(INT(D19*10000),2)&amp;"元整"</f>
        <v>#VALUE!</v>
      </c>
      <c r="E20" s="1489"/>
    </row>
    <row r="21" spans="1:5" ht="15.75" thickBot="1">
      <c r="A21" s="1489"/>
      <c r="B21" s="347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28325</v>
      </c>
      <c r="C2" s="2" t="s">
        <v>106</v>
      </c>
      <c r="D2" s="199"/>
      <c r="E2" s="199"/>
      <c r="F2" s="199"/>
      <c r="G2" s="199"/>
    </row>
    <row r="3" spans="1:7" s="200" customFormat="1" ht="18" customHeight="1" thickBot="1">
      <c r="A3" s="203" t="s">
        <v>58</v>
      </c>
      <c r="B3" s="204">
        <f ca="1">ROUND(B2*10000/'数据-汇总表'!E3,0)</f>
        <v>510756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11</v>
      </c>
      <c r="D10" s="843">
        <f>'数据-汇总表'!E6</f>
        <v>554.57000000000005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11</v>
      </c>
      <c r="D19" s="847">
        <f>'数据-汇总表'!E3</f>
        <v>554.57000000000005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1764</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194</v>
      </c>
      <c r="D34" s="217"/>
      <c r="E34" s="220"/>
      <c r="F34" s="257">
        <f>IF('数据-取费表'!B24=0,1,'数据-取费表'!N16)</f>
        <v>1</v>
      </c>
      <c r="G34" s="219" t="s">
        <v>89</v>
      </c>
    </row>
    <row r="35" spans="1:7" ht="13.5" customHeight="1">
      <c r="A35" s="778" t="s">
        <v>351</v>
      </c>
      <c r="B35" s="215" t="s">
        <v>33</v>
      </c>
      <c r="C35" s="220">
        <f>ROUND(C34*F35,0)</f>
        <v>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11</v>
      </c>
      <c r="D37" s="217">
        <f>'数据-汇总表'!E3</f>
        <v>554.57000000000005</v>
      </c>
      <c r="E37" s="249">
        <f>'数据-取费表'!B35</f>
        <v>200</v>
      </c>
      <c r="F37" s="259"/>
      <c r="G37" s="261" t="s">
        <v>92</v>
      </c>
    </row>
    <row r="38" spans="1:7" ht="13.5" customHeight="1">
      <c r="A38" s="778" t="s">
        <v>354</v>
      </c>
      <c r="B38" s="215" t="s">
        <v>36</v>
      </c>
      <c r="C38" s="220">
        <f>ROUND(C34*F38,0)</f>
        <v>3</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9</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9</v>
      </c>
      <c r="D42" s="238"/>
      <c r="E42" s="238"/>
      <c r="F42" s="239"/>
      <c r="G42" s="3651" t="s">
        <v>94</v>
      </c>
    </row>
    <row r="43" spans="1:7" ht="13.5" customHeight="1">
      <c r="A43" s="778" t="s">
        <v>347</v>
      </c>
      <c r="B43" s="215" t="s">
        <v>426</v>
      </c>
      <c r="C43" s="238">
        <f ca="1">ROUND(IF('数据-取费表'!B22&lt;=1,C39*F22*'数据-取费表'!B21/2,C39*(POWER((1+F22),'数据-取费表'!B21/2)-1)),0)</f>
        <v>0</v>
      </c>
      <c r="D43" s="238"/>
      <c r="E43" s="238"/>
      <c r="F43" s="239"/>
      <c r="G43" s="3652"/>
    </row>
    <row r="44" spans="1:7" ht="13.5" customHeight="1">
      <c r="A44" s="778" t="s">
        <v>348</v>
      </c>
      <c r="B44" s="215" t="s">
        <v>428</v>
      </c>
      <c r="C44" s="238">
        <f ca="1">ROUND(IF('数据-取费表'!B22&lt;=1,C40*F22*'数据-取费表'!B21/2,C40*(POWER((1+F22),'数据-取费表'!B21/2)-1)),4)</f>
        <v>8.0000000000000004E-4</v>
      </c>
      <c r="D44" s="238"/>
      <c r="E44" s="238"/>
      <c r="F44" s="239"/>
      <c r="G44" s="3653"/>
    </row>
    <row r="45" spans="1:7" s="214" customFormat="1" ht="13.5" customHeight="1">
      <c r="A45" s="775" t="s">
        <v>341</v>
      </c>
      <c r="B45" s="244" t="s">
        <v>85</v>
      </c>
      <c r="C45" s="245">
        <f>C46</f>
        <v>33</v>
      </c>
      <c r="D45" s="235">
        <f>C47</f>
        <v>3.0000000000000001E-3</v>
      </c>
      <c r="E45" s="236" t="s">
        <v>102</v>
      </c>
      <c r="F45" s="246"/>
      <c r="G45" s="247" t="s">
        <v>434</v>
      </c>
    </row>
    <row r="46" spans="1:7" s="214" customFormat="1" ht="13.5" customHeight="1">
      <c r="A46" s="778" t="s">
        <v>349</v>
      </c>
      <c r="B46" s="248" t="s">
        <v>427</v>
      </c>
      <c r="C46" s="249">
        <f>ROUND((C33+C39)*F27,0)</f>
        <v>33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281</v>
      </c>
      <c r="D49" s="232"/>
      <c r="E49" s="232"/>
      <c r="F49" s="264"/>
      <c r="G49" s="234" t="s">
        <v>435</v>
      </c>
    </row>
    <row r="50" spans="1:7" s="258" customFormat="1" ht="24">
      <c r="A50" s="775" t="s">
        <v>344</v>
      </c>
      <c r="B50" s="210" t="s">
        <v>97</v>
      </c>
      <c r="C50" s="232"/>
      <c r="D50" s="232"/>
      <c r="E50" s="232"/>
      <c r="F50" s="264">
        <f>IF('数据-取费表'!B24=0,'数据-取费表'!N16,1)</f>
        <v>0.83</v>
      </c>
      <c r="G50" s="247" t="s">
        <v>98</v>
      </c>
    </row>
    <row r="51" spans="1:7" ht="16.5" customHeight="1">
      <c r="A51" s="775" t="s">
        <v>345</v>
      </c>
      <c r="B51" s="210" t="s">
        <v>105</v>
      </c>
      <c r="C51" s="232">
        <f ca="1">ROUND(C49*F50,0)</f>
        <v>233</v>
      </c>
      <c r="D51" s="232"/>
      <c r="E51" s="232"/>
      <c r="F51" s="264"/>
      <c r="G51" s="234" t="s">
        <v>37</v>
      </c>
    </row>
    <row r="52" spans="1:7" s="208" customFormat="1" ht="16.5" thickBot="1">
      <c r="A52" s="265" t="s">
        <v>38</v>
      </c>
      <c r="B52" s="266"/>
      <c r="C52" s="267">
        <f ca="1">C31+C51</f>
        <v>28325</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1" t="s">
        <v>2841</v>
      </c>
      <c r="B1" s="3791"/>
      <c r="C1" s="3791"/>
      <c r="D1" s="3791"/>
      <c r="E1" s="3791"/>
      <c r="F1" s="3791"/>
      <c r="G1" s="3792"/>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89" t="s">
        <v>2868</v>
      </c>
      <c r="B3" s="3227"/>
      <c r="C3" s="3228" t="s">
        <v>2811</v>
      </c>
      <c r="D3" s="3228" t="s">
        <v>2869</v>
      </c>
      <c r="E3" s="3228" t="s">
        <v>2813</v>
      </c>
      <c r="F3" s="3228" t="s">
        <v>2870</v>
      </c>
      <c r="G3" s="3228" t="s">
        <v>2631</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0"/>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3" t="s">
        <v>3183</v>
      </c>
      <c r="B1" s="3793"/>
    </row>
    <row r="2" spans="1:7" ht="14.25" thickBot="1">
      <c r="A2" s="3252"/>
      <c r="B2" s="3252"/>
    </row>
    <row r="3" spans="1:7" ht="14.25" thickBot="1">
      <c r="A3" s="3252"/>
      <c r="B3" s="3252"/>
      <c r="C3" s="3253" t="s">
        <v>2811</v>
      </c>
      <c r="D3" s="3253" t="s">
        <v>2869</v>
      </c>
      <c r="E3" s="3253" t="s">
        <v>2813</v>
      </c>
      <c r="F3" s="3253" t="s">
        <v>2870</v>
      </c>
      <c r="G3" s="3253" t="s">
        <v>2631</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4" t="s">
        <v>3234</v>
      </c>
      <c r="B1" s="3794"/>
      <c r="C1" s="3794"/>
      <c r="D1" s="3794"/>
      <c r="E1" s="3794"/>
      <c r="F1" s="3795"/>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45085</v>
      </c>
      <c r="B1" s="3207" t="s">
        <v>2840</v>
      </c>
      <c r="C1" s="3208"/>
      <c r="D1" s="3208"/>
      <c r="E1" s="3208"/>
      <c r="F1" s="3208"/>
      <c r="G1" s="3208"/>
      <c r="H1" s="3208"/>
      <c r="I1" s="3208"/>
      <c r="J1" s="3162"/>
      <c r="K1" s="3208" t="s">
        <v>454</v>
      </c>
      <c r="L1" s="3208"/>
      <c r="M1" s="3208"/>
      <c r="N1" s="3208"/>
      <c r="O1" s="3208"/>
      <c r="P1" s="3208"/>
      <c r="Q1" s="3162"/>
      <c r="R1" s="3796" t="s">
        <v>456</v>
      </c>
      <c r="S1" s="3797"/>
      <c r="T1" s="3797"/>
      <c r="U1" s="3797"/>
      <c r="V1" s="3797"/>
      <c r="W1" s="3797"/>
      <c r="X1" s="3162"/>
      <c r="Y1" s="3796" t="s">
        <v>457</v>
      </c>
      <c r="Z1" s="3797"/>
      <c r="AA1" s="3797"/>
      <c r="AB1" s="3797"/>
      <c r="AC1" s="3797"/>
      <c r="AD1" s="3797"/>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3369</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3370</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3368</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3371</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3372</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2820</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2821</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2822</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2823</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2824</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3366</v>
      </c>
    </row>
    <row r="19" spans="1:30" s="3006" customFormat="1">
      <c r="I19" s="3205" t="s">
        <v>2825</v>
      </c>
    </row>
    <row r="20" spans="1:30" s="3006" customFormat="1"/>
    <row r="21" spans="1:30" s="3206" customFormat="1" ht="12.75">
      <c r="B21" s="3207" t="s">
        <v>2826</v>
      </c>
      <c r="C21" s="3208"/>
      <c r="D21" s="3208"/>
      <c r="E21" s="3208"/>
      <c r="F21" s="3208"/>
      <c r="G21" s="3208"/>
      <c r="H21" s="3208"/>
      <c r="I21" s="3208"/>
      <c r="J21" s="3162"/>
      <c r="K21" s="3208" t="s">
        <v>2827</v>
      </c>
      <c r="L21" s="3208"/>
      <c r="M21" s="3208"/>
      <c r="N21" s="3208"/>
      <c r="O21" s="3208"/>
      <c r="P21" s="3208"/>
      <c r="Q21" s="3162"/>
      <c r="R21" s="3796" t="s">
        <v>2828</v>
      </c>
      <c r="S21" s="3797"/>
      <c r="T21" s="3797"/>
      <c r="U21" s="3797"/>
      <c r="V21" s="3797"/>
      <c r="W21" s="3797"/>
      <c r="X21" s="3162"/>
      <c r="Y21" s="3796" t="s">
        <v>2829</v>
      </c>
      <c r="Z21" s="3797"/>
      <c r="AA21" s="3797"/>
      <c r="AB21" s="3797"/>
      <c r="AC21" s="3797"/>
      <c r="AD21" s="3797"/>
    </row>
    <row r="22" spans="1:30" s="3140" customFormat="1" ht="14.25" thickBot="1">
      <c r="B22" s="3141"/>
      <c r="C22" s="3142"/>
      <c r="D22" s="3143" t="s">
        <v>2830</v>
      </c>
      <c r="E22" s="3144" t="s">
        <v>2831</v>
      </c>
      <c r="F22" s="3144" t="s">
        <v>2832</v>
      </c>
      <c r="G22" s="3144" t="s">
        <v>2833</v>
      </c>
      <c r="H22" s="3144"/>
      <c r="I22" s="3144" t="s">
        <v>2834</v>
      </c>
      <c r="J22" s="3145"/>
      <c r="K22" s="3143" t="s">
        <v>2830</v>
      </c>
      <c r="L22" s="3144" t="s">
        <v>2831</v>
      </c>
      <c r="M22" s="3144" t="s">
        <v>2832</v>
      </c>
      <c r="N22" s="3144" t="s">
        <v>2833</v>
      </c>
      <c r="O22" s="3144"/>
      <c r="P22" s="3144" t="s">
        <v>2834</v>
      </c>
      <c r="Q22" s="3145"/>
      <c r="R22" s="3143" t="s">
        <v>2830</v>
      </c>
      <c r="S22" s="3144" t="s">
        <v>2831</v>
      </c>
      <c r="T22" s="3144" t="s">
        <v>2832</v>
      </c>
      <c r="U22" s="3144" t="s">
        <v>2833</v>
      </c>
      <c r="V22" s="3144"/>
      <c r="W22" s="3144" t="s">
        <v>2834</v>
      </c>
      <c r="X22" s="3145"/>
      <c r="Y22" s="3143" t="s">
        <v>2830</v>
      </c>
      <c r="Z22" s="3144" t="s">
        <v>2831</v>
      </c>
      <c r="AA22" s="3144" t="s">
        <v>2832</v>
      </c>
      <c r="AB22" s="3144" t="s">
        <v>2833</v>
      </c>
      <c r="AC22" s="3144"/>
      <c r="AD22" s="3144" t="s">
        <v>2834</v>
      </c>
    </row>
    <row r="23" spans="1:30" s="3158" customFormat="1" ht="12.75">
      <c r="A23" s="3146" t="s">
        <v>2835</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3369</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3370</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3368</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3371</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3372</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3365</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2836</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2837</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2838</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2839</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2824</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45085</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2310</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21"/>
  <sheetViews>
    <sheetView workbookViewId="0">
      <selection activeCell="E17" sqref="E17"/>
    </sheetView>
  </sheetViews>
  <sheetFormatPr defaultRowHeight="13.5"/>
  <cols>
    <col min="1" max="1" width="9" style="3811"/>
    <col min="2" max="2" width="23.875" style="3811" customWidth="1"/>
    <col min="3" max="3" width="9" style="3811"/>
    <col min="4" max="4" width="10.375" style="3811" customWidth="1"/>
    <col min="5" max="6" width="9" style="3811"/>
    <col min="7" max="7" width="16" style="3811" customWidth="1"/>
    <col min="8" max="11" width="9" style="3811"/>
    <col min="12" max="12" width="18.625" style="3811" customWidth="1"/>
    <col min="13" max="16384" width="9" style="3811"/>
  </cols>
  <sheetData>
    <row r="3" spans="1:14">
      <c r="B3" s="3810" t="s">
        <v>3497</v>
      </c>
      <c r="C3" s="3810" t="s">
        <v>3501</v>
      </c>
      <c r="D3" s="3810" t="s">
        <v>3498</v>
      </c>
      <c r="E3" s="3810" t="s">
        <v>3499</v>
      </c>
      <c r="F3" s="3810" t="s">
        <v>3500</v>
      </c>
    </row>
    <row r="4" spans="1:14">
      <c r="A4" s="3810" t="s">
        <v>3485</v>
      </c>
      <c r="B4" s="3812" t="s">
        <v>3515</v>
      </c>
      <c r="C4" s="3810" t="s">
        <v>3502</v>
      </c>
      <c r="D4" s="3811">
        <v>523.95000000000005</v>
      </c>
      <c r="E4" s="3811">
        <v>3</v>
      </c>
      <c r="G4" s="3810" t="s">
        <v>3503</v>
      </c>
    </row>
    <row r="5" spans="1:14">
      <c r="A5" s="3810"/>
      <c r="B5" s="3812"/>
      <c r="C5" s="3810" t="s">
        <v>3509</v>
      </c>
      <c r="D5" s="3811">
        <v>338.21</v>
      </c>
      <c r="F5" s="3811">
        <v>35481</v>
      </c>
      <c r="G5" s="3810" t="s">
        <v>3513</v>
      </c>
    </row>
    <row r="6" spans="1:14">
      <c r="A6" s="3810"/>
      <c r="B6" s="3812"/>
      <c r="C6" s="3810" t="s">
        <v>3509</v>
      </c>
      <c r="D6" s="3810">
        <v>485.72</v>
      </c>
      <c r="F6" s="3811">
        <v>26765</v>
      </c>
      <c r="G6" s="3810" t="s">
        <v>3510</v>
      </c>
    </row>
    <row r="7" spans="1:14">
      <c r="B7" s="3809" t="s">
        <v>3504</v>
      </c>
      <c r="C7" s="3810" t="s">
        <v>3505</v>
      </c>
      <c r="D7" s="3811">
        <v>218.68</v>
      </c>
      <c r="E7" s="3811">
        <v>8</v>
      </c>
      <c r="G7" s="3810" t="s">
        <v>3506</v>
      </c>
    </row>
    <row r="8" spans="1:14">
      <c r="B8" s="3809"/>
      <c r="C8" s="3810" t="s">
        <v>3505</v>
      </c>
      <c r="D8" s="3811">
        <v>70.599999999999994</v>
      </c>
      <c r="E8" s="3811">
        <v>4.5999999999999996</v>
      </c>
      <c r="G8" s="3810" t="s">
        <v>3507</v>
      </c>
    </row>
    <row r="9" spans="1:14">
      <c r="B9" s="3809"/>
      <c r="C9" s="3810" t="s">
        <v>3509</v>
      </c>
      <c r="D9" s="3810">
        <v>125.25</v>
      </c>
      <c r="F9" s="3811">
        <v>20679</v>
      </c>
      <c r="G9" s="3810" t="s">
        <v>3514</v>
      </c>
      <c r="N9" s="3811">
        <f>E4*365/F5</f>
        <v>3.086158789211127E-2</v>
      </c>
    </row>
    <row r="10" spans="1:14">
      <c r="B10" s="3809" t="s">
        <v>3521</v>
      </c>
      <c r="C10" s="3810" t="s">
        <v>3505</v>
      </c>
      <c r="D10" s="3811">
        <v>118.34</v>
      </c>
      <c r="E10" s="3811">
        <v>7</v>
      </c>
      <c r="G10" s="3810" t="s">
        <v>3508</v>
      </c>
    </row>
    <row r="11" spans="1:14">
      <c r="B11" s="3809"/>
      <c r="C11" s="3810" t="s">
        <v>3505</v>
      </c>
      <c r="D11" s="3811">
        <v>37.659999999999997</v>
      </c>
      <c r="F11" s="3811">
        <v>60808</v>
      </c>
      <c r="G11" s="3810" t="s">
        <v>3517</v>
      </c>
      <c r="N11" s="3811">
        <f>E10*365/F11</f>
        <v>4.2017497697671359E-2</v>
      </c>
    </row>
    <row r="12" spans="1:14">
      <c r="B12" s="3810" t="s">
        <v>3511</v>
      </c>
      <c r="C12" s="3810" t="s">
        <v>3505</v>
      </c>
      <c r="D12" s="3810">
        <v>85.82</v>
      </c>
      <c r="F12" s="3811">
        <v>38453</v>
      </c>
      <c r="G12" s="3810" t="s">
        <v>3512</v>
      </c>
    </row>
    <row r="13" spans="1:14">
      <c r="B13" s="3810" t="s">
        <v>3518</v>
      </c>
      <c r="C13" s="3810" t="s">
        <v>3505</v>
      </c>
      <c r="D13" s="3810">
        <v>150.62</v>
      </c>
      <c r="F13" s="3811">
        <v>25562</v>
      </c>
      <c r="G13" s="3810" t="s">
        <v>3519</v>
      </c>
    </row>
    <row r="21" spans="2:7" ht="31.5">
      <c r="B21" s="3813"/>
      <c r="D21" s="3813"/>
      <c r="G21" s="3813"/>
    </row>
  </sheetData>
  <mergeCells count="3">
    <mergeCell ref="B4:B6"/>
    <mergeCell ref="B7:B9"/>
    <mergeCell ref="B10:B1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29" sqref="A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2" t="s">
        <v>925</v>
      </c>
      <c r="E3" s="852" t="s">
        <v>931</v>
      </c>
      <c r="F3" s="852" t="s">
        <v>925</v>
      </c>
      <c r="G3" s="852" t="s">
        <v>926</v>
      </c>
      <c r="H3" s="852" t="s">
        <v>925</v>
      </c>
      <c r="I3" s="852" t="s">
        <v>926</v>
      </c>
    </row>
    <row r="4" spans="1:9" ht="15">
      <c r="A4" s="1503" t="str">
        <f>项目基本情况!S2</f>
        <v>北京市房山区长阳镇祥云街5号院4号楼2层201配套商业用房房地产</v>
      </c>
      <c r="B4" s="852">
        <f>项目基本情况!C17</f>
        <v>554.57000000000005</v>
      </c>
      <c r="C4" s="852">
        <f>项目基本情况!C18</f>
        <v>0</v>
      </c>
      <c r="D4" s="852">
        <f ca="1">结果表!D118</f>
        <v>934</v>
      </c>
      <c r="E4" s="852">
        <f ca="1">结果表!E118</f>
        <v>16845</v>
      </c>
      <c r="F4" s="852">
        <f ca="1">结果表!F118</f>
        <v>281</v>
      </c>
      <c r="G4" s="852">
        <f ca="1">结果表!G118</f>
        <v>5060</v>
      </c>
      <c r="H4" s="852">
        <f ca="1">结果表!H118</f>
        <v>1215</v>
      </c>
      <c r="I4" s="852">
        <f ca="1">结果表!I118</f>
        <v>21905</v>
      </c>
    </row>
    <row r="5" spans="1:9" ht="30" customHeight="1">
      <c r="A5" s="3481" t="s">
        <v>927</v>
      </c>
      <c r="B5" s="3481"/>
      <c r="C5" s="3481"/>
      <c r="D5" s="3481" t="str">
        <f ca="1">结果表!D119</f>
        <v>玖佰叁拾肆万元整</v>
      </c>
      <c r="E5" s="3481"/>
      <c r="F5" s="3481" t="str">
        <f ca="1">结果表!F119</f>
        <v>贰佰捌拾壹万元整</v>
      </c>
      <c r="G5" s="3481"/>
      <c r="H5" s="3481" t="str">
        <f ca="1">结果表!H119</f>
        <v>壹仟贰佰壹拾伍万元整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1215</v>
      </c>
      <c r="E8" s="3482"/>
      <c r="F8" s="3482"/>
      <c r="G8" s="3482"/>
      <c r="H8" s="3482"/>
      <c r="I8" s="3482"/>
    </row>
    <row r="9" spans="1:9" ht="15">
      <c r="A9" s="3481" t="s">
        <v>927</v>
      </c>
      <c r="B9" s="3481"/>
      <c r="C9" s="3481"/>
      <c r="D9" s="3481" t="str">
        <f ca="1">结果表!D123</f>
        <v>壹仟贰佰壹拾伍万元整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8" t="s">
        <v>949</v>
      </c>
      <c r="B1" s="3488"/>
      <c r="C1" s="3488"/>
      <c r="D1" s="3488"/>
    </row>
    <row r="2" spans="1:4" ht="18">
      <c r="A2" s="3489" t="s">
        <v>933</v>
      </c>
      <c r="B2" s="3489"/>
      <c r="C2" s="3489"/>
      <c r="D2" s="3489"/>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489" t="s">
        <v>939</v>
      </c>
      <c r="B6" s="3489"/>
      <c r="C6" s="3489"/>
      <c r="D6" s="348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2" t="s">
        <v>956</v>
      </c>
      <c r="B15" s="3497" t="s">
        <v>109</v>
      </c>
      <c r="C15" s="3498"/>
    </row>
    <row r="16" spans="1:7" ht="13.5">
      <c r="A16" s="3503"/>
      <c r="B16" s="3497" t="s">
        <v>42</v>
      </c>
      <c r="C16" s="3498"/>
    </row>
    <row r="17" spans="1:3" ht="13.5">
      <c r="A17" s="3503"/>
      <c r="B17" s="3500" t="s">
        <v>957</v>
      </c>
      <c r="C17" s="1530" t="s">
        <v>956</v>
      </c>
    </row>
    <row r="18" spans="1:3" ht="13.5">
      <c r="A18" s="3503"/>
      <c r="B18" s="3500"/>
      <c r="C18" s="1530" t="s">
        <v>958</v>
      </c>
    </row>
    <row r="19" spans="1:3" ht="13.5">
      <c r="A19" s="3503"/>
      <c r="B19" s="3500"/>
      <c r="C19" s="1530" t="s">
        <v>959</v>
      </c>
    </row>
    <row r="20" spans="1:3" ht="13.5">
      <c r="A20" s="3504"/>
      <c r="B20" s="3499" t="s">
        <v>960</v>
      </c>
      <c r="C20" s="3498"/>
    </row>
    <row r="21" spans="1:3" ht="13.5">
      <c r="A21" s="1531" t="s">
        <v>961</v>
      </c>
      <c r="B21" s="1532"/>
      <c r="C21" s="1533"/>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0" t="s">
        <v>967</v>
      </c>
    </row>
    <row r="26" spans="1:3" ht="13.5">
      <c r="A26" s="3501"/>
      <c r="B26" s="3500"/>
      <c r="C26" s="1530" t="s">
        <v>968</v>
      </c>
    </row>
    <row r="27" spans="1:3" ht="13.5">
      <c r="A27" s="3501"/>
      <c r="B27" s="3500"/>
      <c r="C27" s="1530" t="s">
        <v>969</v>
      </c>
    </row>
    <row r="28" spans="1:3" ht="13.5">
      <c r="A28" s="3501"/>
      <c r="B28" s="3500"/>
      <c r="C28" s="1530" t="s">
        <v>970</v>
      </c>
    </row>
    <row r="29" spans="1:3" ht="13.5">
      <c r="A29" s="3501"/>
      <c r="B29" s="3500"/>
      <c r="C29" s="1530" t="s">
        <v>971</v>
      </c>
    </row>
    <row r="30" spans="1:3" ht="13.5">
      <c r="A30" s="3501"/>
      <c r="B30" s="3500"/>
      <c r="C30" s="1530" t="s">
        <v>972</v>
      </c>
    </row>
    <row r="31" spans="1:3" ht="13.5">
      <c r="A31" s="3501"/>
      <c r="B31" s="3500"/>
      <c r="C31" s="1530" t="s">
        <v>973</v>
      </c>
    </row>
    <row r="32" spans="1:3" ht="13.5">
      <c r="A32" s="3501"/>
      <c r="B32" s="3500"/>
      <c r="C32" s="1530" t="s">
        <v>974</v>
      </c>
    </row>
    <row r="33" spans="1:3" ht="13.5">
      <c r="A33" s="3501"/>
      <c r="B33" s="350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45085</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f ca="1">IF(C13&lt;B2,"已过期",1120020033)</f>
        <v>1120020033</v>
      </c>
      <c r="C13" s="2343">
        <v>45375</v>
      </c>
      <c r="D13" s="2344" t="str">
        <f t="shared" ca="1" si="0"/>
        <v>刘敬东（注册号：1120020033）</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5" t="s">
        <v>2157</v>
      </c>
      <c r="B17" s="3505"/>
      <c r="C17" s="3505"/>
      <c r="D17" s="3505"/>
      <c r="E17" s="3505"/>
      <c r="F17" s="3505"/>
      <c r="G17" s="3505"/>
      <c r="H17" s="3505"/>
    </row>
    <row r="18" spans="1:8" ht="24" customHeight="1">
      <c r="A18" s="3506" t="s">
        <v>2158</v>
      </c>
      <c r="B18" s="3506"/>
      <c r="C18" s="3506"/>
      <c r="D18" s="2341"/>
      <c r="E18" s="3507" t="s">
        <v>2159</v>
      </c>
      <c r="F18" s="3506"/>
      <c r="G18" s="350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比较法-租金</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市调</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2023-06-08T08:57:42Z</dcterms:modified>
</cp:coreProperties>
</file>