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2" sheetId="90"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汇总）" sheetId="70" state="hidden" r:id="rId22"/>
    <sheet name="收益法" sheetId="87" r:id="rId23"/>
    <sheet name="收益法-商业" sheetId="15" state="hidden" r:id="rId24"/>
    <sheet name="比较法-商业" sheetId="33" state="hidden" r:id="rId25"/>
    <sheet name="成本法 (元)" sheetId="69"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收益法-车库" sheetId="88" state="hidden" r:id="rId35"/>
    <sheet name="基准地价（汇总）" sheetId="76" state="hidden" r:id="rId36"/>
    <sheet name="基准地价修正" sheetId="43" r:id="rId37"/>
    <sheet name="基准地价修正-商业" sheetId="86"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案例信息" sheetId="80" state="hidden" r:id="rId44"/>
    <sheet name="结果表-6号楼" sheetId="85" state="hidden" r:id="rId45"/>
    <sheet name="成本法-6号楼" sheetId="83" state="hidden" r:id="rId46"/>
    <sheet name="收益法-6号楼" sheetId="82" state="hidden" r:id="rId47"/>
    <sheet name="基准地价修正 (2)" sheetId="84" state="hidden" r:id="rId48"/>
    <sheet name="Sheet1" sheetId="91" r:id="rId49"/>
    <sheet name="区片价" sheetId="44" r:id="rId50"/>
    <sheet name="因素修正幅度" sheetId="65" state="hidden" r:id="rId51"/>
    <sheet name="区片价（范围）" sheetId="75" state="hidden" r:id="rId52"/>
    <sheet name="地价-分区" sheetId="79" r:id="rId53"/>
    <sheet name="地价" sheetId="71" state="hidden" r:id="rId54"/>
    <sheet name="存贷款利率" sheetId="73" r:id="rId55"/>
  </sheets>
  <externalReferences>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5">'成本法 (元)'!$A$1:$G$57</definedName>
    <definedName name="_xlnm.Print_Area" localSheetId="45">'成本法-6号楼'!$A$1:$G$57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47">'基准地价修正 (2)'!$A$1:$J$44,'基准地价修正 (2)'!$A$47:$H$101,'基准地价修正 (2)'!$R$1:$V$16</definedName>
    <definedName name="_xlnm.Print_Area" localSheetId="37">'基准地价修正-商业'!$A$1:$J$44,'基准地价修正-商业'!$A$47:$H$101,'基准地价修正-商业'!$R$1:$V$16</definedName>
    <definedName name="_xlnm.Print_Area" localSheetId="20">假设开发法!$A$1:$K$32</definedName>
    <definedName name="_xlnm.Print_Area" localSheetId="18">结果表!$A$1:$I$127</definedName>
    <definedName name="_xlnm.Print_Area" localSheetId="44">'结果表-6号楼'!$A$1:$I$127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1">'收益法（汇总）'!$A$1:$F$13</definedName>
    <definedName name="_xlnm.Print_Area" localSheetId="46">'收益法-6号楼'!$A$1:$F$43,'收益法-6号楼'!$H$3:$M$29,'收益法-6号楼'!$A$46:$F$71,'收益法-6号楼'!$I$46:$N$65</definedName>
    <definedName name="_xlnm.Print_Area" localSheetId="34">'收益法-车库'!$A$1:$F$43,'收益法-车库'!$H$3:$M$29,'收益法-车库'!$A$46:$F$71,'收益法-车库'!$I$46:$N$65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 (2)'!$Q$19:$AD$19</definedName>
    <definedName name="季度" localSheetId="37">'基准地价修正-商业'!$Q$19:$AD$19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W23" i="1" l="1"/>
  <c r="V24" i="1"/>
  <c r="U23" i="1"/>
  <c r="U22" i="1"/>
  <c r="U21" i="1"/>
  <c r="D33" i="43" l="1"/>
  <c r="G44" i="43"/>
  <c r="L52" i="87"/>
  <c r="G19" i="6"/>
  <c r="F19" i="6"/>
  <c r="K19" i="3"/>
  <c r="I14" i="3"/>
  <c r="I15" i="3"/>
  <c r="I16" i="3"/>
  <c r="I17" i="3"/>
  <c r="I18" i="3"/>
  <c r="I19" i="3"/>
  <c r="I13" i="3"/>
  <c r="G39" i="6" l="1"/>
  <c r="D37" i="86" l="1"/>
  <c r="D33" i="86"/>
  <c r="J12" i="90"/>
  <c r="I13" i="90"/>
  <c r="I12" i="90"/>
  <c r="K4" i="90"/>
  <c r="J4" i="90"/>
  <c r="I4" i="90"/>
  <c r="E4" i="90"/>
  <c r="B7" i="90"/>
  <c r="E10" i="90"/>
  <c r="B10" i="90"/>
  <c r="G2" i="90"/>
  <c r="F3" i="90"/>
  <c r="E3" i="90" s="1"/>
  <c r="B6" i="90"/>
  <c r="N18" i="1"/>
  <c r="M25" i="1" l="1"/>
  <c r="P74" i="88" l="1"/>
  <c r="Q72" i="88"/>
  <c r="F61" i="88"/>
  <c r="Q59" i="88"/>
  <c r="K59" i="88"/>
  <c r="P61" i="88" s="1"/>
  <c r="F59" i="88"/>
  <c r="Q58" i="88"/>
  <c r="Q51" i="88"/>
  <c r="J50" i="88"/>
  <c r="J49" i="88"/>
  <c r="M47" i="88"/>
  <c r="D46" i="88"/>
  <c r="F33" i="88"/>
  <c r="F31" i="88"/>
  <c r="F23" i="88"/>
  <c r="D24" i="88" s="1"/>
  <c r="F21" i="88"/>
  <c r="F20" i="88"/>
  <c r="M19" i="88"/>
  <c r="F18" i="88"/>
  <c r="M17" i="88"/>
  <c r="F17" i="88"/>
  <c r="F15" i="88"/>
  <c r="P74" i="87"/>
  <c r="Q72" i="87"/>
  <c r="F61" i="87"/>
  <c r="Q59" i="87"/>
  <c r="K59" i="87"/>
  <c r="P61" i="87" s="1"/>
  <c r="F59" i="87"/>
  <c r="Q58" i="87"/>
  <c r="Q51" i="87"/>
  <c r="J50" i="87"/>
  <c r="J49" i="87"/>
  <c r="M47" i="87"/>
  <c r="D46" i="87"/>
  <c r="F33" i="87"/>
  <c r="F31" i="87"/>
  <c r="F23" i="87"/>
  <c r="D24" i="87" s="1"/>
  <c r="F21" i="87"/>
  <c r="F20" i="87"/>
  <c r="M19" i="87"/>
  <c r="F18" i="87"/>
  <c r="M17" i="87"/>
  <c r="F17" i="87"/>
  <c r="F15" i="87"/>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N101" i="86"/>
  <c r="M101" i="86"/>
  <c r="K101" i="86"/>
  <c r="J101" i="86" s="1"/>
  <c r="D101" i="86"/>
  <c r="B101" i="86"/>
  <c r="M100" i="86"/>
  <c r="N100" i="86" s="1"/>
  <c r="K100" i="86"/>
  <c r="J100" i="86" s="1"/>
  <c r="D100" i="86"/>
  <c r="B100" i="86"/>
  <c r="N99" i="86"/>
  <c r="M99" i="86"/>
  <c r="K99" i="86"/>
  <c r="J99" i="86" s="1"/>
  <c r="D99" i="86"/>
  <c r="B99" i="86"/>
  <c r="N98" i="86"/>
  <c r="M98" i="86"/>
  <c r="K98" i="86"/>
  <c r="J98" i="86"/>
  <c r="D98" i="86"/>
  <c r="M97" i="86"/>
  <c r="N97" i="86" s="1"/>
  <c r="K97" i="86"/>
  <c r="J97" i="86" s="1"/>
  <c r="D97" i="86"/>
  <c r="B97" i="86"/>
  <c r="N96" i="86"/>
  <c r="M96" i="86"/>
  <c r="K96" i="86"/>
  <c r="J96" i="86" s="1"/>
  <c r="D96" i="86"/>
  <c r="N95" i="86"/>
  <c r="M95" i="86"/>
  <c r="K95" i="86"/>
  <c r="J95" i="86"/>
  <c r="D95" i="86"/>
  <c r="B95" i="86"/>
  <c r="M94" i="86"/>
  <c r="N94" i="86" s="1"/>
  <c r="K94" i="86"/>
  <c r="J94" i="86" s="1"/>
  <c r="D94" i="86"/>
  <c r="B94" i="86"/>
  <c r="M93" i="86"/>
  <c r="N93" i="86" s="1"/>
  <c r="K93" i="86"/>
  <c r="J93" i="86" s="1"/>
  <c r="F93" i="86"/>
  <c r="H101" i="86" s="1"/>
  <c r="E93" i="86"/>
  <c r="B91" i="86" s="1"/>
  <c r="D93" i="86"/>
  <c r="B90" i="86"/>
  <c r="D88" i="86"/>
  <c r="B88" i="86"/>
  <c r="B87" i="86"/>
  <c r="B86" i="86"/>
  <c r="B85" i="86"/>
  <c r="D84" i="86"/>
  <c r="B84" i="86"/>
  <c r="F83" i="86"/>
  <c r="B83" i="86"/>
  <c r="N80" i="86"/>
  <c r="M80" i="86"/>
  <c r="K80" i="86"/>
  <c r="J80" i="86"/>
  <c r="D80" i="86"/>
  <c r="M79" i="86"/>
  <c r="N79" i="86" s="1"/>
  <c r="K79" i="86"/>
  <c r="J79" i="86" s="1"/>
  <c r="D79" i="86"/>
  <c r="B79" i="86"/>
  <c r="N78" i="86"/>
  <c r="M78" i="86"/>
  <c r="K78" i="86"/>
  <c r="J78" i="86" s="1"/>
  <c r="D78" i="86"/>
  <c r="N77" i="86"/>
  <c r="M77" i="86"/>
  <c r="K77" i="86"/>
  <c r="J77" i="86" s="1"/>
  <c r="D77" i="86"/>
  <c r="B77" i="86"/>
  <c r="M76" i="86"/>
  <c r="N76" i="86" s="1"/>
  <c r="K76" i="86"/>
  <c r="J76" i="86" s="1"/>
  <c r="D76" i="86"/>
  <c r="B76" i="86"/>
  <c r="N75" i="86"/>
  <c r="M75" i="86"/>
  <c r="K75" i="86"/>
  <c r="J75" i="86" s="1"/>
  <c r="D75" i="86"/>
  <c r="B75" i="86"/>
  <c r="N74" i="86"/>
  <c r="M74" i="86"/>
  <c r="K74" i="86"/>
  <c r="J74" i="86"/>
  <c r="D74" i="86"/>
  <c r="B74" i="86"/>
  <c r="M73" i="86"/>
  <c r="N73" i="86" s="1"/>
  <c r="K73" i="86"/>
  <c r="J73" i="86" s="1"/>
  <c r="D73" i="86"/>
  <c r="E72" i="86" s="1"/>
  <c r="B70" i="86" s="1"/>
  <c r="B73" i="86"/>
  <c r="M72" i="86"/>
  <c r="N72" i="86" s="1"/>
  <c r="K72" i="86"/>
  <c r="J72" i="86" s="1"/>
  <c r="F72" i="86"/>
  <c r="H74" i="86" s="1"/>
  <c r="D72" i="86"/>
  <c r="B72" i="86"/>
  <c r="N69" i="86"/>
  <c r="M69" i="86"/>
  <c r="K69" i="86"/>
  <c r="J69" i="86"/>
  <c r="D69" i="86"/>
  <c r="B69" i="86"/>
  <c r="N68" i="86"/>
  <c r="M68" i="86"/>
  <c r="K68" i="86"/>
  <c r="J68" i="86" s="1"/>
  <c r="D68" i="86"/>
  <c r="B68" i="86"/>
  <c r="M67" i="86"/>
  <c r="N67" i="86" s="1"/>
  <c r="K67" i="86"/>
  <c r="J67" i="86" s="1"/>
  <c r="D67" i="86"/>
  <c r="B67" i="86"/>
  <c r="N66" i="86"/>
  <c r="M66" i="86"/>
  <c r="K66" i="86"/>
  <c r="D66" i="86" s="1"/>
  <c r="M65" i="86"/>
  <c r="N65" i="86" s="1"/>
  <c r="K65" i="86"/>
  <c r="J65" i="86" s="1"/>
  <c r="B65" i="86"/>
  <c r="M64" i="86"/>
  <c r="N64" i="86" s="1"/>
  <c r="K64" i="86"/>
  <c r="J64" i="86" s="1"/>
  <c r="D64" i="86"/>
  <c r="N63" i="86"/>
  <c r="M63" i="86"/>
  <c r="K63" i="86"/>
  <c r="J63" i="86"/>
  <c r="D63" i="86"/>
  <c r="B63" i="86"/>
  <c r="M62" i="86"/>
  <c r="N62" i="86" s="1"/>
  <c r="K62" i="86"/>
  <c r="J62" i="86" s="1"/>
  <c r="D62" i="86"/>
  <c r="B62" i="86"/>
  <c r="M61" i="86"/>
  <c r="N61" i="86" s="1"/>
  <c r="K61" i="86"/>
  <c r="F61" i="86"/>
  <c r="H68" i="86" s="1"/>
  <c r="B61" i="86"/>
  <c r="B58" i="86"/>
  <c r="B57" i="86"/>
  <c r="B56" i="86"/>
  <c r="B54" i="86"/>
  <c r="B52" i="86"/>
  <c r="B51" i="86"/>
  <c r="B50" i="86"/>
  <c r="H42" i="86"/>
  <c r="H41" i="86"/>
  <c r="H40" i="86"/>
  <c r="H39" i="86"/>
  <c r="H38" i="86"/>
  <c r="H37" i="86"/>
  <c r="J24" i="86"/>
  <c r="G24" i="86"/>
  <c r="G18" i="86" s="1"/>
  <c r="E24" i="86"/>
  <c r="Q32" i="86" s="1"/>
  <c r="M23" i="86"/>
  <c r="I23" i="86"/>
  <c r="C22" i="86"/>
  <c r="G17" i="86"/>
  <c r="C17" i="86"/>
  <c r="C13" i="86"/>
  <c r="AI10" i="86"/>
  <c r="AH10" i="86"/>
  <c r="AE10" i="86"/>
  <c r="AD10" i="86"/>
  <c r="AA10" i="86"/>
  <c r="Z10" i="86"/>
  <c r="Y10" i="86"/>
  <c r="C10" i="86"/>
  <c r="C11" i="86" s="1"/>
  <c r="AJ9" i="86"/>
  <c r="AJ10" i="86" s="1"/>
  <c r="AI9" i="86"/>
  <c r="AH9" i="86"/>
  <c r="AG9" i="86"/>
  <c r="AG10" i="86" s="1"/>
  <c r="AF9" i="86"/>
  <c r="AF10" i="86" s="1"/>
  <c r="AE9" i="86"/>
  <c r="AD9" i="86"/>
  <c r="AC9" i="86"/>
  <c r="AC10" i="86" s="1"/>
  <c r="AB9" i="86"/>
  <c r="AB10" i="86" s="1"/>
  <c r="AA9" i="86"/>
  <c r="Z9" i="86"/>
  <c r="C9" i="86"/>
  <c r="C7" i="86"/>
  <c r="I2" i="86"/>
  <c r="M12" i="86" s="1"/>
  <c r="G2" i="86"/>
  <c r="F41" i="86" s="1"/>
  <c r="D1" i="86"/>
  <c r="H98" i="86" l="1"/>
  <c r="M1" i="86"/>
  <c r="H95" i="86"/>
  <c r="H21" i="86"/>
  <c r="X7" i="86"/>
  <c r="I21" i="86"/>
  <c r="H62" i="86"/>
  <c r="H69" i="86"/>
  <c r="S4" i="86"/>
  <c r="C21" i="86"/>
  <c r="L21" i="86"/>
  <c r="H63" i="86"/>
  <c r="S6" i="86"/>
  <c r="D21" i="86"/>
  <c r="M21" i="86"/>
  <c r="H65" i="86"/>
  <c r="D22" i="88"/>
  <c r="D23" i="88"/>
  <c r="D22" i="87"/>
  <c r="D23" i="87"/>
  <c r="E8" i="86"/>
  <c r="E9" i="86"/>
  <c r="E10" i="86"/>
  <c r="E11" i="86"/>
  <c r="M8" i="86"/>
  <c r="N32" i="86"/>
  <c r="N2" i="86"/>
  <c r="N3" i="86"/>
  <c r="M4" i="86"/>
  <c r="N5" i="86"/>
  <c r="N7" i="86"/>
  <c r="M9" i="86"/>
  <c r="N11" i="86"/>
  <c r="N12" i="86"/>
  <c r="I18" i="86"/>
  <c r="E17" i="86" s="1"/>
  <c r="E21" i="86"/>
  <c r="J21" i="86"/>
  <c r="N21" i="86"/>
  <c r="O32" i="86"/>
  <c r="F37" i="86"/>
  <c r="H66" i="86"/>
  <c r="H67" i="86"/>
  <c r="H64" i="86"/>
  <c r="H61" i="86"/>
  <c r="D65" i="86"/>
  <c r="N1" i="86"/>
  <c r="M2" i="86"/>
  <c r="M3" i="86"/>
  <c r="C6" i="86" s="1"/>
  <c r="M5" i="86"/>
  <c r="M7" i="86"/>
  <c r="N8" i="86"/>
  <c r="H116" i="86"/>
  <c r="F42" i="86"/>
  <c r="F40" i="86"/>
  <c r="F38" i="86"/>
  <c r="S2" i="86"/>
  <c r="S3" i="86"/>
  <c r="N4" i="86"/>
  <c r="S5" i="86"/>
  <c r="M6" i="86"/>
  <c r="N9" i="86"/>
  <c r="M10" i="86"/>
  <c r="K21" i="86"/>
  <c r="O21" i="86"/>
  <c r="P32" i="86"/>
  <c r="E44" i="86"/>
  <c r="F50" i="86"/>
  <c r="J61" i="86"/>
  <c r="D61" i="86"/>
  <c r="E61" i="86" s="1"/>
  <c r="B59" i="86" s="1"/>
  <c r="J66" i="86"/>
  <c r="H88" i="86"/>
  <c r="G88" i="86" s="1"/>
  <c r="H87" i="86"/>
  <c r="G87" i="86" s="1"/>
  <c r="H86" i="86"/>
  <c r="G86" i="86" s="1"/>
  <c r="H85" i="86"/>
  <c r="G85" i="86" s="1"/>
  <c r="H84" i="86"/>
  <c r="G84" i="86" s="1"/>
  <c r="H83" i="86"/>
  <c r="G83" i="86" s="1"/>
  <c r="H90" i="86"/>
  <c r="G90" i="86" s="1"/>
  <c r="H89" i="86"/>
  <c r="G89" i="86" s="1"/>
  <c r="N6" i="86"/>
  <c r="N10" i="86"/>
  <c r="M32" i="86"/>
  <c r="F39" i="86"/>
  <c r="H80" i="86"/>
  <c r="H78" i="86"/>
  <c r="H75" i="86"/>
  <c r="H79" i="86"/>
  <c r="H76" i="86"/>
  <c r="H72" i="86"/>
  <c r="H77" i="86"/>
  <c r="M11" i="86"/>
  <c r="C27" i="86"/>
  <c r="H73" i="86"/>
  <c r="H94" i="86"/>
  <c r="H97" i="86"/>
  <c r="H100" i="86"/>
  <c r="H93" i="86"/>
  <c r="H96" i="86"/>
  <c r="H99" i="86"/>
  <c r="J49" i="82"/>
  <c r="G21" i="86" l="1"/>
  <c r="C20" i="86" s="1"/>
  <c r="C5" i="86" s="1"/>
  <c r="M89" i="86"/>
  <c r="N89" i="86" s="1"/>
  <c r="K89" i="86"/>
  <c r="K84" i="86"/>
  <c r="J84" i="86" s="1"/>
  <c r="M84" i="86"/>
  <c r="N84" i="86" s="1"/>
  <c r="K85" i="86"/>
  <c r="M85" i="86"/>
  <c r="N85" i="86" s="1"/>
  <c r="M90" i="86"/>
  <c r="N90" i="86" s="1"/>
  <c r="K90" i="86"/>
  <c r="K86" i="86"/>
  <c r="J86" i="86" s="1"/>
  <c r="M86" i="86"/>
  <c r="K88" i="86"/>
  <c r="J88" i="86" s="1"/>
  <c r="M88" i="86"/>
  <c r="N88" i="86" s="1"/>
  <c r="M83" i="86"/>
  <c r="N83" i="86" s="1"/>
  <c r="K83" i="86"/>
  <c r="K87" i="86"/>
  <c r="J87" i="86" s="1"/>
  <c r="M87" i="86"/>
  <c r="H52" i="86"/>
  <c r="G52" i="86" s="1"/>
  <c r="H51" i="86"/>
  <c r="G51" i="86" s="1"/>
  <c r="H50" i="86"/>
  <c r="G50" i="86" s="1"/>
  <c r="H54" i="86"/>
  <c r="G54" i="86" s="1"/>
  <c r="H58" i="86"/>
  <c r="G58" i="86" s="1"/>
  <c r="H57" i="86"/>
  <c r="G57" i="86" s="1"/>
  <c r="H56" i="86"/>
  <c r="G56" i="86" s="1"/>
  <c r="H55" i="86"/>
  <c r="G55" i="86" s="1"/>
  <c r="H53" i="86"/>
  <c r="G53" i="86" s="1"/>
  <c r="A120" i="85"/>
  <c r="A118" i="85"/>
  <c r="E111" i="85"/>
  <c r="A126" i="85" s="1"/>
  <c r="E109" i="85"/>
  <c r="A124" i="85" s="1"/>
  <c r="E107" i="85"/>
  <c r="A122" i="85" s="1"/>
  <c r="H106" i="85"/>
  <c r="H103" i="85" s="1"/>
  <c r="D120" i="85" s="1"/>
  <c r="H105" i="85"/>
  <c r="H104" i="85"/>
  <c r="D101" i="85"/>
  <c r="C101" i="85"/>
  <c r="C91" i="85"/>
  <c r="E90" i="85"/>
  <c r="D89" i="85"/>
  <c r="C89" i="85"/>
  <c r="C87" i="85"/>
  <c r="C92" i="85" s="1"/>
  <c r="H77" i="85"/>
  <c r="D77" i="85"/>
  <c r="C76" i="85"/>
  <c r="F59" i="85"/>
  <c r="E59" i="85"/>
  <c r="N56" i="85"/>
  <c r="M56" i="85"/>
  <c r="K56" i="85"/>
  <c r="J56" i="85"/>
  <c r="F56" i="85"/>
  <c r="O55" i="85"/>
  <c r="N55" i="85"/>
  <c r="K55" i="85"/>
  <c r="J55" i="85"/>
  <c r="J57" i="85" s="1"/>
  <c r="J59" i="85" s="1"/>
  <c r="J61" i="85" s="1"/>
  <c r="I55" i="85"/>
  <c r="F55" i="85"/>
  <c r="O53" i="85" s="1"/>
  <c r="O54" i="85"/>
  <c r="N54" i="85"/>
  <c r="N53" i="85"/>
  <c r="K49" i="85"/>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D73" i="84"/>
  <c r="B73" i="84"/>
  <c r="M72" i="84"/>
  <c r="N72" i="84" s="1"/>
  <c r="K72" i="84"/>
  <c r="J72" i="84" s="1"/>
  <c r="F72" i="84"/>
  <c r="H73" i="84" s="1"/>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C9" i="84"/>
  <c r="E8" i="84"/>
  <c r="C7" i="84"/>
  <c r="G3" i="84"/>
  <c r="B116" i="84" s="1"/>
  <c r="I2" i="84"/>
  <c r="N10" i="84" s="1"/>
  <c r="G2" i="84"/>
  <c r="O21" i="84" s="1"/>
  <c r="C40" i="83"/>
  <c r="F38" i="83"/>
  <c r="E37" i="83"/>
  <c r="F36" i="83"/>
  <c r="F35" i="83"/>
  <c r="F21" i="83"/>
  <c r="F40" i="83" s="1"/>
  <c r="C21" i="83"/>
  <c r="F20" i="83"/>
  <c r="F39" i="83" s="1"/>
  <c r="E19" i="83"/>
  <c r="C19" i="83"/>
  <c r="E10" i="83"/>
  <c r="E9" i="83"/>
  <c r="F7" i="83"/>
  <c r="J49" i="15"/>
  <c r="P74" i="82"/>
  <c r="Q72" i="82"/>
  <c r="Q59" i="82"/>
  <c r="K59" i="82"/>
  <c r="P61" i="82" s="1"/>
  <c r="F59" i="82"/>
  <c r="Q58" i="82"/>
  <c r="Q51" i="82"/>
  <c r="J50" i="82"/>
  <c r="M47" i="82"/>
  <c r="D46" i="82"/>
  <c r="F33" i="82"/>
  <c r="F61" i="82" s="1"/>
  <c r="F31" i="82"/>
  <c r="F23" i="82"/>
  <c r="D24" i="82" s="1"/>
  <c r="F21" i="82"/>
  <c r="F20" i="82"/>
  <c r="M19" i="82"/>
  <c r="F18" i="82"/>
  <c r="M17" i="82"/>
  <c r="F17" i="82"/>
  <c r="F15" i="82"/>
  <c r="D37" i="84"/>
  <c r="H37" i="84" s="1"/>
  <c r="E2" i="83"/>
  <c r="M1" i="84" l="1"/>
  <c r="N4" i="84"/>
  <c r="D22" i="82"/>
  <c r="D23" i="82"/>
  <c r="M6" i="84"/>
  <c r="N9" i="84"/>
  <c r="D5" i="86"/>
  <c r="M53" i="86"/>
  <c r="N53" i="86" s="1"/>
  <c r="K53" i="86"/>
  <c r="M58" i="86"/>
  <c r="N58" i="86" s="1"/>
  <c r="K58" i="86"/>
  <c r="M52" i="86"/>
  <c r="N52" i="86" s="1"/>
  <c r="K52" i="86"/>
  <c r="D85" i="86"/>
  <c r="J85" i="86"/>
  <c r="D89" i="86"/>
  <c r="J89" i="86"/>
  <c r="M50" i="86"/>
  <c r="N50" i="86" s="1"/>
  <c r="K50" i="86"/>
  <c r="J83" i="86"/>
  <c r="D83" i="86"/>
  <c r="E83" i="86" s="1"/>
  <c r="B81" i="86" s="1"/>
  <c r="K55" i="86"/>
  <c r="M55" i="86"/>
  <c r="N55" i="86" s="1"/>
  <c r="M54" i="86"/>
  <c r="N54" i="86" s="1"/>
  <c r="K54" i="86"/>
  <c r="D87" i="86"/>
  <c r="N87" i="86"/>
  <c r="D90" i="86"/>
  <c r="J90" i="86"/>
  <c r="M56" i="86"/>
  <c r="N56" i="86" s="1"/>
  <c r="K56" i="86"/>
  <c r="M57" i="86"/>
  <c r="N57" i="86" s="1"/>
  <c r="K57" i="86"/>
  <c r="J57" i="86" s="1"/>
  <c r="D57" i="86" s="1"/>
  <c r="M51" i="86"/>
  <c r="N51" i="86" s="1"/>
  <c r="K51" i="86"/>
  <c r="D86" i="86"/>
  <c r="N86" i="86"/>
  <c r="K21" i="84"/>
  <c r="J26" i="84"/>
  <c r="E26" i="84"/>
  <c r="N2" i="84"/>
  <c r="S5" i="84"/>
  <c r="S3" i="84"/>
  <c r="M10" i="84"/>
  <c r="C18" i="85"/>
  <c r="D18" i="85" s="1"/>
  <c r="D121" i="85"/>
  <c r="K120" i="85"/>
  <c r="C94" i="85"/>
  <c r="H109" i="85"/>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56" i="86" l="1"/>
  <c r="J56" i="86"/>
  <c r="D50" i="86"/>
  <c r="J50" i="86"/>
  <c r="D58" i="86"/>
  <c r="J58" i="86"/>
  <c r="D51" i="86"/>
  <c r="J51" i="86"/>
  <c r="J54" i="86"/>
  <c r="D54" i="86"/>
  <c r="D55" i="86"/>
  <c r="J55" i="86"/>
  <c r="J52" i="86"/>
  <c r="D52" i="86"/>
  <c r="J53" i="86"/>
  <c r="D53" i="86"/>
  <c r="D26" i="84"/>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E50" i="86" l="1"/>
  <c r="B48" i="86" s="1"/>
  <c r="C28" i="86" s="1"/>
  <c r="M53" i="84"/>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E50" i="84" l="1"/>
  <c r="B48" i="84" s="1"/>
  <c r="C28" i="84" s="1"/>
  <c r="E104" i="33"/>
  <c r="F104" i="33"/>
  <c r="G104" i="33"/>
  <c r="D104" i="33"/>
  <c r="J52" i="67" l="1"/>
  <c r="G89" i="33"/>
  <c r="E89" i="33"/>
  <c r="F89" i="33"/>
  <c r="D89" i="33"/>
  <c r="O19" i="1"/>
  <c r="J49" i="67"/>
  <c r="N20" i="1" l="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10" i="1" l="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I24" i="86" s="1"/>
  <c r="C24" i="86"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B43" i="1"/>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G14" i="3" s="1"/>
  <c r="AC14" i="3"/>
  <c r="H15" i="3"/>
  <c r="AC15" i="3"/>
  <c r="M24" i="1" s="1"/>
  <c r="M23" i="1" s="1"/>
  <c r="M27" i="1" s="1"/>
  <c r="M26" i="1" s="1"/>
  <c r="H16" i="3"/>
  <c r="G16" i="3" s="1"/>
  <c r="AC16" i="3"/>
  <c r="H17" i="3"/>
  <c r="AC17" i="3"/>
  <c r="AT5" i="3"/>
  <c r="I5" i="3"/>
  <c r="AD5" i="3"/>
  <c r="AH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G64" i="43" s="1"/>
  <c r="M64" i="43" s="1"/>
  <c r="N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AZ309" i="3"/>
  <c r="AZ317" i="3"/>
  <c r="AZ325" i="3"/>
  <c r="AZ333" i="3"/>
  <c r="AZ341" i="3"/>
  <c r="AZ549" i="3"/>
  <c r="AZ506" i="3"/>
  <c r="AZ496" i="3"/>
  <c r="G548" i="3"/>
  <c r="G538" i="3"/>
  <c r="G520" i="3"/>
  <c r="G502" i="3"/>
  <c r="BS5" i="3"/>
  <c r="BP5" i="3"/>
  <c r="AZ343" i="3"/>
  <c r="BK5" i="3"/>
  <c r="BI5" i="3"/>
  <c r="BG5" i="3"/>
  <c r="BE5"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BL17" i="3"/>
  <c r="AZ17" i="3" s="1"/>
  <c r="J56" i="9"/>
  <c r="J57" i="9" s="1"/>
  <c r="J59" i="9" s="1"/>
  <c r="J61" i="9" s="1"/>
  <c r="A24" i="51"/>
  <c r="B18" i="72" s="1"/>
  <c r="U29" i="34"/>
  <c r="E5" i="6"/>
  <c r="E32" i="6"/>
  <c r="E19" i="69"/>
  <c r="E19" i="68"/>
  <c r="E19" i="11"/>
  <c r="G22" i="69"/>
  <c r="C6" i="43"/>
  <c r="B19" i="53"/>
  <c r="B37" i="72" s="1"/>
  <c r="C7" i="21"/>
  <c r="A4" i="51"/>
  <c r="B6" i="72" s="1"/>
  <c r="L20" i="6"/>
  <c r="K11" i="1"/>
  <c r="M11" i="1" s="1"/>
  <c r="O11" i="1" s="1"/>
  <c r="B9" i="1"/>
  <c r="E9" i="1" s="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73"/>
  <c r="E10" i="76"/>
  <c r="B11" i="76"/>
  <c r="F4" i="73"/>
  <c r="F20" i="31"/>
  <c r="F5" i="73"/>
  <c r="E8" i="76"/>
  <c r="B10" i="76"/>
  <c r="B12" i="76"/>
  <c r="D4" i="73"/>
  <c r="F6" i="73"/>
  <c r="F3" i="73"/>
  <c r="B9" i="76"/>
  <c r="D6" i="73"/>
  <c r="D3" i="73"/>
  <c r="E11" i="76"/>
  <c r="D7" i="73"/>
  <c r="E13" i="76"/>
  <c r="B8" i="76"/>
  <c r="D5" i="73"/>
  <c r="E2" i="69"/>
  <c r="B13" i="76"/>
  <c r="E12" i="76"/>
  <c r="AO13" i="1"/>
  <c r="E9" i="76"/>
  <c r="E2" i="68"/>
  <c r="D78" i="9" l="1"/>
  <c r="D93" i="85"/>
  <c r="D78" i="85"/>
  <c r="F48" i="9"/>
  <c r="O52" i="9" s="1"/>
  <c r="F32" i="87"/>
  <c r="F60" i="87" s="1"/>
  <c r="F28" i="87"/>
  <c r="F28" i="88"/>
  <c r="M18" i="88"/>
  <c r="F32" i="88"/>
  <c r="F60" i="88" s="1"/>
  <c r="M18" i="87"/>
  <c r="F53" i="85"/>
  <c r="M18" i="82"/>
  <c r="D68" i="85"/>
  <c r="F54" i="85"/>
  <c r="F48" i="85"/>
  <c r="O52" i="85" s="1"/>
  <c r="F30" i="83"/>
  <c r="F48" i="83" s="1"/>
  <c r="F28" i="82"/>
  <c r="F52" i="85"/>
  <c r="F32" i="82"/>
  <c r="F60" i="82" s="1"/>
  <c r="M20" i="15"/>
  <c r="F34" i="88"/>
  <c r="F62" i="88" s="1"/>
  <c r="M20" i="87"/>
  <c r="M20" i="88"/>
  <c r="F34" i="87"/>
  <c r="F62" i="87" s="1"/>
  <c r="M20" i="82"/>
  <c r="F34" i="82"/>
  <c r="F62" i="82" s="1"/>
  <c r="G41" i="69"/>
  <c r="G41" i="83"/>
  <c r="G22" i="83"/>
  <c r="G22" i="11"/>
  <c r="E1" i="73"/>
  <c r="G26" i="12"/>
  <c r="F34" i="68"/>
  <c r="C36" i="68" s="1"/>
  <c r="D22" i="15"/>
  <c r="G22" i="68"/>
  <c r="G17" i="3"/>
  <c r="G20" i="3"/>
  <c r="BR5" i="3"/>
  <c r="G28" i="6" s="1"/>
  <c r="G30" i="6" s="1"/>
  <c r="G31" i="6" s="1"/>
  <c r="G18" i="3"/>
  <c r="BD5" i="3"/>
  <c r="K64" i="43"/>
  <c r="J64" i="43" s="1"/>
  <c r="G1" i="88"/>
  <c r="G1" i="87"/>
  <c r="G15" i="3"/>
  <c r="C7" i="35"/>
  <c r="C48" i="35" s="1"/>
  <c r="D48" i="35" s="1"/>
  <c r="G23" i="86"/>
  <c r="J51" i="88"/>
  <c r="J51" i="87"/>
  <c r="F11" i="1"/>
  <c r="G11" i="1" s="1"/>
  <c r="G44" i="86"/>
  <c r="C44" i="86" s="1"/>
  <c r="F8" i="1"/>
  <c r="M8" i="1"/>
  <c r="E19" i="6"/>
  <c r="C33" i="33" s="1"/>
  <c r="BA16" i="3"/>
  <c r="AZ16" i="3" s="1"/>
  <c r="BJ5" i="3"/>
  <c r="BF5" i="3"/>
  <c r="BA14" i="3"/>
  <c r="AZ14" i="3" s="1"/>
  <c r="BN5" i="3"/>
  <c r="G29" i="6" s="1"/>
  <c r="B7" i="1"/>
  <c r="E7" i="1" s="1"/>
  <c r="G1" i="82"/>
  <c r="G1" i="83"/>
  <c r="C7" i="37"/>
  <c r="C52" i="37" s="1"/>
  <c r="D52" i="37" s="1"/>
  <c r="E52" i="37" s="1"/>
  <c r="F52" i="37" s="1"/>
  <c r="G52" i="37" s="1"/>
  <c r="H52" i="37" s="1"/>
  <c r="I52" i="37" s="1"/>
  <c r="J52" i="37" s="1"/>
  <c r="K52" i="37" s="1"/>
  <c r="L52" i="37" s="1"/>
  <c r="M52" i="37" s="1"/>
  <c r="N52" i="37" s="1"/>
  <c r="O52" i="37" s="1"/>
  <c r="G23" i="43"/>
  <c r="C23" i="43" s="1"/>
  <c r="M47" i="9"/>
  <c r="G7" i="1"/>
  <c r="G23" i="84"/>
  <c r="M47" i="85"/>
  <c r="J51" i="82"/>
  <c r="C7" i="33"/>
  <c r="C58" i="33" s="1"/>
  <c r="D58" i="33" s="1"/>
  <c r="E58" i="33" s="1"/>
  <c r="F58" i="33" s="1"/>
  <c r="G58" i="33" s="1"/>
  <c r="H58" i="33" s="1"/>
  <c r="I58" i="33" s="1"/>
  <c r="J58" i="33" s="1"/>
  <c r="K58" i="33" s="1"/>
  <c r="L58" i="33" s="1"/>
  <c r="M58" i="33" s="1"/>
  <c r="N58" i="33" s="1"/>
  <c r="O58" i="33" s="1"/>
  <c r="C7" i="40"/>
  <c r="C63" i="40" s="1"/>
  <c r="C65" i="40" s="1"/>
  <c r="C7" i="39"/>
  <c r="C67"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AZ18" i="3" s="1"/>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BA15" i="3"/>
  <c r="F29" i="6"/>
  <c r="F6" i="1"/>
  <c r="H69" i="43"/>
  <c r="G69" i="43" s="1"/>
  <c r="E115" i="33"/>
  <c r="F115" i="33" s="1"/>
  <c r="G115" i="33" s="1"/>
  <c r="H115" i="33" s="1"/>
  <c r="I115" i="33" s="1"/>
  <c r="J115" i="33" s="1"/>
  <c r="K115" i="33" s="1"/>
  <c r="L115" i="33" s="1"/>
  <c r="M115" i="33" s="1"/>
  <c r="F27" i="33"/>
  <c r="AA27" i="33" s="1"/>
  <c r="C18" i="9"/>
  <c r="D18" i="9" s="1"/>
  <c r="BB5" i="3"/>
  <c r="N54" i="43"/>
  <c r="K54" i="43"/>
  <c r="J54" i="43" s="1"/>
  <c r="H50" i="43"/>
  <c r="G50" i="43" s="1"/>
  <c r="H67" i="43"/>
  <c r="G67" i="43" s="1"/>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AB27" i="33"/>
  <c r="AC26" i="33"/>
  <c r="U26" i="33"/>
  <c r="S26" i="33"/>
  <c r="AB25" i="33"/>
  <c r="AC25" i="33"/>
  <c r="AA25" i="33"/>
  <c r="C24" i="12"/>
  <c r="C40" i="69"/>
  <c r="C40" i="68"/>
  <c r="C21" i="68"/>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9" i="6"/>
  <c r="K15" i="1" s="1"/>
  <c r="L19" i="6"/>
  <c r="L27" i="6"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72" i="43"/>
  <c r="D76" i="43"/>
  <c r="D80" i="43"/>
  <c r="D61" i="43"/>
  <c r="P61" i="15"/>
  <c r="C48" i="69"/>
  <c r="C30" i="11"/>
  <c r="C21" i="69"/>
  <c r="J85" i="43"/>
  <c r="D73" i="43"/>
  <c r="D75" i="43"/>
  <c r="D79" i="43"/>
  <c r="D22" i="67"/>
  <c r="AQ13" i="1"/>
  <c r="P11" i="1"/>
  <c r="D9" i="11"/>
  <c r="C9" i="11" s="1"/>
  <c r="D19" i="12"/>
  <c r="C19" i="12" s="1"/>
  <c r="O9" i="1"/>
  <c r="P9" i="1" s="1"/>
  <c r="O12" i="1"/>
  <c r="P12" i="1" s="1"/>
  <c r="O8" i="1"/>
  <c r="P8" i="1" s="1"/>
  <c r="H73" i="43"/>
  <c r="H90" i="43"/>
  <c r="G90" i="43" s="1"/>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E48" i="35"/>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D9" i="68"/>
  <c r="F34" i="83"/>
  <c r="F8" i="88"/>
  <c r="F8" i="87"/>
  <c r="M26" i="87"/>
  <c r="F13" i="15"/>
  <c r="F36" i="15"/>
  <c r="F13" i="67"/>
  <c r="L48" i="82"/>
  <c r="M24" i="82"/>
  <c r="M9" i="88"/>
  <c r="M9" i="87"/>
  <c r="F7" i="82"/>
  <c r="F9" i="67"/>
  <c r="M22" i="87"/>
  <c r="F38" i="15"/>
  <c r="G1" i="73"/>
  <c r="F43" i="88"/>
  <c r="C76" i="15"/>
  <c r="F36" i="67"/>
  <c r="L47" i="88"/>
  <c r="F37" i="88"/>
  <c r="M24" i="87"/>
  <c r="L47" i="82"/>
  <c r="M23" i="67"/>
  <c r="C76" i="67"/>
  <c r="C36" i="83"/>
  <c r="M9" i="67"/>
  <c r="F26" i="87"/>
  <c r="M28" i="15"/>
  <c r="M22" i="15"/>
  <c r="F16" i="67"/>
  <c r="F16" i="82"/>
  <c r="F38" i="82"/>
  <c r="F16" i="15"/>
  <c r="F27" i="83"/>
  <c r="M8" i="88"/>
  <c r="F9" i="88"/>
  <c r="M23" i="87"/>
  <c r="F9" i="82"/>
  <c r="L48" i="88"/>
  <c r="M22" i="67"/>
  <c r="F40" i="82"/>
  <c r="M29" i="82"/>
  <c r="M29" i="88"/>
  <c r="F26" i="88"/>
  <c r="C76" i="87"/>
  <c r="F6" i="15"/>
  <c r="F6" i="88"/>
  <c r="F37" i="87"/>
  <c r="L48" i="15"/>
  <c r="J15" i="87"/>
  <c r="C76" i="88"/>
  <c r="F6" i="82"/>
  <c r="F38" i="88"/>
  <c r="M27" i="88"/>
  <c r="F42" i="88"/>
  <c r="M8" i="87"/>
  <c r="L48" i="67"/>
  <c r="F40" i="67"/>
  <c r="F42" i="82"/>
  <c r="F38" i="67"/>
  <c r="F26" i="15"/>
  <c r="F6" i="87"/>
  <c r="M6" i="82"/>
  <c r="D9" i="83"/>
  <c r="J15" i="88"/>
  <c r="F6" i="67"/>
  <c r="M22" i="88"/>
  <c r="F13" i="82"/>
  <c r="M8" i="67"/>
  <c r="M28" i="82"/>
  <c r="L47" i="67"/>
  <c r="M28" i="88"/>
  <c r="F8" i="82"/>
  <c r="J15" i="67"/>
  <c r="M8" i="15"/>
  <c r="M27" i="87"/>
  <c r="F7" i="88"/>
  <c r="M24" i="15"/>
  <c r="F26" i="82"/>
  <c r="F36" i="82"/>
  <c r="F38" i="87"/>
  <c r="F40" i="88"/>
  <c r="F16" i="87"/>
  <c r="M6" i="87"/>
  <c r="F8" i="67"/>
  <c r="M6" i="15"/>
  <c r="F42" i="67"/>
  <c r="M9" i="15"/>
  <c r="F9" i="15"/>
  <c r="F16" i="88"/>
  <c r="F9" i="87"/>
  <c r="M6" i="67"/>
  <c r="M27" i="82"/>
  <c r="M24" i="88"/>
  <c r="M26" i="67"/>
  <c r="F37" i="82"/>
  <c r="F8" i="15"/>
  <c r="M26" i="82"/>
  <c r="M28" i="67"/>
  <c r="F26" i="67"/>
  <c r="F36" i="88"/>
  <c r="F40" i="87"/>
  <c r="F36" i="87"/>
  <c r="F37" i="67"/>
  <c r="J15" i="82"/>
  <c r="L48" i="87"/>
  <c r="C76" i="82"/>
  <c r="M23" i="88"/>
  <c r="F37" i="15"/>
  <c r="M8" i="82"/>
  <c r="M9" i="82"/>
  <c r="M28" i="87"/>
  <c r="F42" i="15"/>
  <c r="F13" i="88"/>
  <c r="F13" i="87"/>
  <c r="F43" i="82"/>
  <c r="M6" i="88"/>
  <c r="M26" i="88"/>
  <c r="M23" i="82"/>
  <c r="M24" i="67"/>
  <c r="M22" i="82"/>
  <c r="L47" i="87"/>
  <c r="F42" i="87"/>
  <c r="L47" i="15"/>
  <c r="F40" i="15"/>
  <c r="J15" i="15"/>
  <c r="M26" i="15"/>
  <c r="M23" i="15"/>
  <c r="D64" i="43" l="1"/>
  <c r="AZ19" i="3"/>
  <c r="M66" i="43"/>
  <c r="N66" i="43" s="1"/>
  <c r="K66" i="43"/>
  <c r="M63" i="43"/>
  <c r="N63" i="43" s="1"/>
  <c r="K63" i="43"/>
  <c r="M65" i="43"/>
  <c r="N65" i="43" s="1"/>
  <c r="K65" i="43"/>
  <c r="M62" i="43"/>
  <c r="N62" i="43" s="1"/>
  <c r="K62" i="43"/>
  <c r="M67" i="43"/>
  <c r="N67" i="43" s="1"/>
  <c r="K67" i="43"/>
  <c r="M69" i="43"/>
  <c r="N69" i="43" s="1"/>
  <c r="K69" i="43"/>
  <c r="M68" i="43"/>
  <c r="N68" i="43" s="1"/>
  <c r="K68" i="43"/>
  <c r="J68" i="43" s="1"/>
  <c r="D68" i="43" s="1"/>
  <c r="M61" i="43"/>
  <c r="N61" i="43" s="1"/>
  <c r="K61" i="43"/>
  <c r="J61" i="43" s="1"/>
  <c r="Q71" i="87"/>
  <c r="F64" i="87"/>
  <c r="F65" i="87"/>
  <c r="F66" i="87"/>
  <c r="C27" i="87"/>
  <c r="F51" i="87"/>
  <c r="F68" i="87"/>
  <c r="Q71" i="88"/>
  <c r="F65" i="88"/>
  <c r="C27" i="88"/>
  <c r="F51" i="88"/>
  <c r="F64" i="88"/>
  <c r="F68" i="88"/>
  <c r="M7" i="88"/>
  <c r="J6" i="88" s="1"/>
  <c r="J19" i="88" s="1"/>
  <c r="F50" i="88"/>
  <c r="F66" i="88"/>
  <c r="C6" i="88"/>
  <c r="C33" i="88" s="1"/>
  <c r="F71" i="88"/>
  <c r="L58" i="88"/>
  <c r="L58" i="87"/>
  <c r="G8" i="1"/>
  <c r="I54" i="87"/>
  <c r="L59" i="87"/>
  <c r="N59" i="87"/>
  <c r="J53" i="87"/>
  <c r="L56" i="87" s="1"/>
  <c r="J57" i="87"/>
  <c r="J55" i="87" s="1"/>
  <c r="J58" i="87" s="1"/>
  <c r="Q50" i="87" s="1"/>
  <c r="M59" i="87"/>
  <c r="C28" i="15"/>
  <c r="C28" i="87"/>
  <c r="C28" i="88"/>
  <c r="J57" i="88"/>
  <c r="J55" i="88" s="1"/>
  <c r="J58" i="88" s="1"/>
  <c r="Q50" i="88" s="1"/>
  <c r="L59" i="88"/>
  <c r="N59" i="88"/>
  <c r="J53" i="88"/>
  <c r="I54" i="88"/>
  <c r="M59" i="88"/>
  <c r="P27" i="86"/>
  <c r="P26" i="86"/>
  <c r="P25" i="86"/>
  <c r="P29" i="86"/>
  <c r="M24" i="86"/>
  <c r="P28" i="86"/>
  <c r="O23" i="86"/>
  <c r="C23" i="86"/>
  <c r="AZ15" i="3"/>
  <c r="M11" i="88"/>
  <c r="J10" i="88" s="1"/>
  <c r="F11" i="88"/>
  <c r="M11" i="87"/>
  <c r="J10" i="87" s="1"/>
  <c r="F11" i="87"/>
  <c r="U2" i="43"/>
  <c r="D1" i="43"/>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C77" i="85"/>
  <c r="C74" i="85" s="1"/>
  <c r="C28" i="82"/>
  <c r="C48" i="83"/>
  <c r="C30" i="83"/>
  <c r="J53" i="82"/>
  <c r="J57" i="82"/>
  <c r="J55" i="82" s="1"/>
  <c r="J58" i="82" s="1"/>
  <c r="Q50" i="82" s="1"/>
  <c r="M59" i="82"/>
  <c r="I54" i="82"/>
  <c r="L59" i="82"/>
  <c r="N59" i="82"/>
  <c r="L56" i="82"/>
  <c r="L60" i="82"/>
  <c r="G6" i="1"/>
  <c r="I24" i="84"/>
  <c r="C24" i="84" s="1"/>
  <c r="C31" i="12"/>
  <c r="P28" i="84"/>
  <c r="M24" i="84"/>
  <c r="O23" i="84"/>
  <c r="C23" i="84"/>
  <c r="P26" i="84"/>
  <c r="P29" i="84"/>
  <c r="P25" i="84"/>
  <c r="P27" i="84"/>
  <c r="L57" i="82"/>
  <c r="M11" i="82"/>
  <c r="J10" i="82" s="1"/>
  <c r="F11" i="82"/>
  <c r="F65" i="67"/>
  <c r="N59" i="67"/>
  <c r="L59" i="67"/>
  <c r="Q74" i="67" s="1"/>
  <c r="M59" i="67"/>
  <c r="F51" i="67"/>
  <c r="C27" i="67"/>
  <c r="F66" i="67"/>
  <c r="F68" i="67"/>
  <c r="F64" i="67"/>
  <c r="Q71" i="67"/>
  <c r="M84" i="43"/>
  <c r="N84" i="43" s="1"/>
  <c r="K84" i="43"/>
  <c r="M86" i="43"/>
  <c r="N86" i="43" s="1"/>
  <c r="K86" i="43"/>
  <c r="M87" i="43"/>
  <c r="N87" i="43" s="1"/>
  <c r="K87" i="43"/>
  <c r="M83" i="43"/>
  <c r="N83" i="43" s="1"/>
  <c r="K83" i="43"/>
  <c r="M88" i="43"/>
  <c r="N88" i="43" s="1"/>
  <c r="K88" i="43"/>
  <c r="M89" i="43"/>
  <c r="N89" i="43" s="1"/>
  <c r="K89" i="43"/>
  <c r="M90" i="43"/>
  <c r="N90" i="43" s="1"/>
  <c r="K90" i="43"/>
  <c r="K6" i="1"/>
  <c r="D3" i="40"/>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I24" i="43"/>
  <c r="C24" i="43" s="1"/>
  <c r="S36" i="33"/>
  <c r="J57" i="67"/>
  <c r="J55" i="67" s="1"/>
  <c r="J58" i="67" s="1"/>
  <c r="Q50" i="67" s="1"/>
  <c r="L56" i="67"/>
  <c r="L58" i="67"/>
  <c r="Q60" i="67" s="1"/>
  <c r="J53" i="67"/>
  <c r="F1" i="67" s="1"/>
  <c r="I54" i="67"/>
  <c r="J7" i="36"/>
  <c r="AC7" i="36" s="1"/>
  <c r="V36" i="36" s="1"/>
  <c r="I36" i="36" s="1"/>
  <c r="H7" i="36"/>
  <c r="W27" i="33"/>
  <c r="AP6" i="1"/>
  <c r="C36" i="69" s="1"/>
  <c r="J7" i="37"/>
  <c r="W7" i="37" s="1"/>
  <c r="S27" i="33"/>
  <c r="AC36" i="3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H7" i="34"/>
  <c r="AB7" i="34" s="1"/>
  <c r="T49" i="34" s="1"/>
  <c r="G49" i="34" s="1"/>
  <c r="E67" i="39"/>
  <c r="F67" i="39" s="1"/>
  <c r="J7" i="34"/>
  <c r="W7" i="34" s="1"/>
  <c r="F7" i="34"/>
  <c r="S7" i="34" s="1"/>
  <c r="AA26" i="35"/>
  <c r="S26" i="35"/>
  <c r="AC26" i="35"/>
  <c r="W26" i="35"/>
  <c r="AB26" i="35"/>
  <c r="U26" i="35"/>
  <c r="C9" i="69"/>
  <c r="C9" i="68"/>
  <c r="E72" i="43"/>
  <c r="B70" i="43" s="1"/>
  <c r="D5" i="43"/>
  <c r="C7" i="43"/>
  <c r="C5" i="43" s="1"/>
  <c r="D10" i="52"/>
  <c r="D125" i="9"/>
  <c r="D11" i="52" s="1"/>
  <c r="B7" i="74"/>
  <c r="F59" i="67"/>
  <c r="H7" i="37"/>
  <c r="AB7" i="37" s="1"/>
  <c r="T42" i="37" s="1"/>
  <c r="G42" i="37" s="1"/>
  <c r="B40" i="1"/>
  <c r="F24" i="88" s="1"/>
  <c r="H7" i="33"/>
  <c r="J7" i="33"/>
  <c r="D65" i="40"/>
  <c r="E63" i="40"/>
  <c r="F48" i="35"/>
  <c r="S7" i="36"/>
  <c r="AA7" i="36"/>
  <c r="R36" i="36" s="1"/>
  <c r="AB7" i="36"/>
  <c r="T36" i="36" s="1"/>
  <c r="G36" i="36" s="1"/>
  <c r="U7" i="36"/>
  <c r="F7" i="33"/>
  <c r="E58" i="21"/>
  <c r="F7" i="37"/>
  <c r="D14" i="71"/>
  <c r="C13" i="71"/>
  <c r="M17" i="67"/>
  <c r="M17" i="15"/>
  <c r="F59" i="15"/>
  <c r="P28" i="43"/>
  <c r="B66" i="40" s="1"/>
  <c r="P25" i="43"/>
  <c r="P29" i="43"/>
  <c r="P27" i="43"/>
  <c r="B70" i="39" s="1"/>
  <c r="M11" i="67"/>
  <c r="J10" i="67" s="1"/>
  <c r="F11" i="15"/>
  <c r="M11" i="15"/>
  <c r="J10" i="15" s="1"/>
  <c r="F11" i="67"/>
  <c r="AE11" i="1"/>
  <c r="AE9" i="1"/>
  <c r="AE12" i="1"/>
  <c r="AE10" i="1"/>
  <c r="F43" i="87"/>
  <c r="F7" i="87"/>
  <c r="C16" i="82"/>
  <c r="C16" i="88"/>
  <c r="M29" i="87"/>
  <c r="J18" i="88" l="1"/>
  <c r="J5" i="88"/>
  <c r="J26" i="88" s="1"/>
  <c r="C32" i="88"/>
  <c r="J69" i="43"/>
  <c r="D69" i="43"/>
  <c r="J62" i="43"/>
  <c r="D62" i="43"/>
  <c r="J63" i="43"/>
  <c r="D63" i="43"/>
  <c r="J67" i="43"/>
  <c r="D67" i="43"/>
  <c r="J65" i="43"/>
  <c r="D65" i="43"/>
  <c r="J66" i="43"/>
  <c r="D66" i="43"/>
  <c r="C49" i="88"/>
  <c r="C61" i="88" s="1"/>
  <c r="F50" i="87"/>
  <c r="C49" i="87" s="1"/>
  <c r="C61" i="87" s="1"/>
  <c r="M7" i="87"/>
  <c r="J6" i="87" s="1"/>
  <c r="J5" i="87" s="1"/>
  <c r="C6" i="87"/>
  <c r="C10" i="87" s="1"/>
  <c r="C5" i="87" s="1"/>
  <c r="J5" i="82"/>
  <c r="J24" i="82" s="1"/>
  <c r="Q60" i="82"/>
  <c r="Q61" i="87"/>
  <c r="Q74" i="87"/>
  <c r="Q60" i="87"/>
  <c r="Q73" i="87"/>
  <c r="C41" i="86"/>
  <c r="T6" i="86"/>
  <c r="V6" i="86" s="1"/>
  <c r="T10" i="86"/>
  <c r="V10" i="86" s="1"/>
  <c r="T9" i="86"/>
  <c r="V9" i="86" s="1"/>
  <c r="T11" i="86"/>
  <c r="V11" i="86" s="1"/>
  <c r="T2" i="86"/>
  <c r="C38" i="86"/>
  <c r="T12" i="86"/>
  <c r="V12" i="86" s="1"/>
  <c r="T7" i="86"/>
  <c r="V7" i="86" s="1"/>
  <c r="T13" i="86"/>
  <c r="V13" i="86" s="1"/>
  <c r="T4" i="86"/>
  <c r="V4" i="86" s="1"/>
  <c r="T3" i="86"/>
  <c r="T15" i="86"/>
  <c r="V15" i="86" s="1"/>
  <c r="T14" i="86"/>
  <c r="V14" i="86" s="1"/>
  <c r="C42" i="86"/>
  <c r="T16" i="86"/>
  <c r="V16" i="86" s="1"/>
  <c r="T8" i="86"/>
  <c r="V8" i="86" s="1"/>
  <c r="T5" i="86"/>
  <c r="V5" i="86" s="1"/>
  <c r="C40" i="86"/>
  <c r="C37" i="86"/>
  <c r="C39" i="86"/>
  <c r="Q74" i="88"/>
  <c r="Q61" i="88"/>
  <c r="F1" i="87"/>
  <c r="Q52" i="87"/>
  <c r="L56" i="88"/>
  <c r="F1" i="88"/>
  <c r="Q52" i="88"/>
  <c r="Q73" i="88"/>
  <c r="Q60" i="88"/>
  <c r="F71" i="87"/>
  <c r="C24" i="88"/>
  <c r="C53" i="88"/>
  <c r="C10" i="88"/>
  <c r="C5" i="88" s="1"/>
  <c r="L36" i="86"/>
  <c r="L37" i="86" s="1"/>
  <c r="F24" i="87"/>
  <c r="C53" i="87"/>
  <c r="AC7" i="37"/>
  <c r="V42" i="37" s="1"/>
  <c r="I42" i="37" s="1"/>
  <c r="W7" i="36"/>
  <c r="AB33" i="33"/>
  <c r="U33" i="33"/>
  <c r="AC33" i="33"/>
  <c r="W33" i="33"/>
  <c r="AA33" i="33"/>
  <c r="S33" i="33"/>
  <c r="M6" i="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D89" i="43"/>
  <c r="J89" i="43"/>
  <c r="J83" i="43"/>
  <c r="D83" i="43"/>
  <c r="D86" i="43"/>
  <c r="J86" i="43"/>
  <c r="D90" i="43"/>
  <c r="J90" i="43"/>
  <c r="D88" i="43"/>
  <c r="J88" i="43"/>
  <c r="D87" i="43"/>
  <c r="J87" i="43"/>
  <c r="D84" i="43"/>
  <c r="J84" i="43"/>
  <c r="Q61" i="15"/>
  <c r="Q52" i="15"/>
  <c r="Q73" i="15"/>
  <c r="F1" i="15"/>
  <c r="Q73" i="67"/>
  <c r="Q52" i="67"/>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7" i="1"/>
  <c r="AE8" i="1"/>
  <c r="F41" i="82"/>
  <c r="AE6" i="1"/>
  <c r="M27" i="67"/>
  <c r="C16" i="87"/>
  <c r="M27" i="15"/>
  <c r="J24" i="88" l="1"/>
  <c r="J26" i="82"/>
  <c r="J29" i="82" s="1"/>
  <c r="C48" i="88"/>
  <c r="C60" i="88" s="1"/>
  <c r="E61" i="43"/>
  <c r="B59" i="43" s="1"/>
  <c r="C48" i="87"/>
  <c r="C66" i="87" s="1"/>
  <c r="J24" i="87"/>
  <c r="J26" i="87"/>
  <c r="C32" i="87"/>
  <c r="C33" i="87"/>
  <c r="J19" i="87"/>
  <c r="J18" i="87"/>
  <c r="G37" i="86"/>
  <c r="I37" i="86" s="1"/>
  <c r="E37" i="86"/>
  <c r="G40" i="86"/>
  <c r="I40" i="86" s="1"/>
  <c r="E40" i="86"/>
  <c r="G42" i="86"/>
  <c r="I42" i="86" s="1"/>
  <c r="E42" i="86"/>
  <c r="E38" i="86"/>
  <c r="G38" i="86"/>
  <c r="I38" i="86" s="1"/>
  <c r="E39" i="86"/>
  <c r="G39" i="86"/>
  <c r="I39" i="86" s="1"/>
  <c r="E41" i="86"/>
  <c r="G41" i="86"/>
  <c r="I41" i="86" s="1"/>
  <c r="O6" i="1"/>
  <c r="O16" i="1" s="1"/>
  <c r="M36" i="86"/>
  <c r="Q36" i="86"/>
  <c r="N36" i="86"/>
  <c r="O36" i="86"/>
  <c r="P36" i="86"/>
  <c r="C38" i="88"/>
  <c r="C66" i="88"/>
  <c r="C38" i="87"/>
  <c r="C24" i="87"/>
  <c r="P37" i="86"/>
  <c r="O37" i="86"/>
  <c r="N37" i="86"/>
  <c r="M37" i="86"/>
  <c r="Q37" i="86"/>
  <c r="R48" i="33"/>
  <c r="E48" i="33" s="1"/>
  <c r="V48" i="33"/>
  <c r="I48" i="33" s="1"/>
  <c r="I52" i="33" s="1"/>
  <c r="J52" i="33" s="1"/>
  <c r="C48" i="82"/>
  <c r="C66" i="82" s="1"/>
  <c r="C34" i="84"/>
  <c r="E34" i="84" s="1"/>
  <c r="G38" i="84"/>
  <c r="I38" i="84" s="1"/>
  <c r="E38" i="84"/>
  <c r="G40" i="84"/>
  <c r="I40" i="84" s="1"/>
  <c r="E40" i="84"/>
  <c r="G37" i="84"/>
  <c r="I37" i="84" s="1"/>
  <c r="E37" i="84"/>
  <c r="E42" i="84"/>
  <c r="G42" i="84"/>
  <c r="I42" i="84" s="1"/>
  <c r="E39" i="84"/>
  <c r="G39" i="84"/>
  <c r="I39" i="84" s="1"/>
  <c r="E41" i="84"/>
  <c r="G41" i="84"/>
  <c r="I41" i="84" s="1"/>
  <c r="F69" i="82"/>
  <c r="C24" i="83"/>
  <c r="C44" i="83"/>
  <c r="D41" i="83" s="1"/>
  <c r="F41" i="83"/>
  <c r="L37" i="84"/>
  <c r="N36" i="84"/>
  <c r="Q36" i="84"/>
  <c r="M36" i="84"/>
  <c r="P36" i="84"/>
  <c r="O36" i="84"/>
  <c r="N36" i="43"/>
  <c r="Q36" i="43"/>
  <c r="L37" i="43"/>
  <c r="P37" i="43" s="1"/>
  <c r="O36" i="43"/>
  <c r="M36" i="43"/>
  <c r="C38" i="82"/>
  <c r="C24" i="82"/>
  <c r="E83" i="43"/>
  <c r="B81" i="43" s="1"/>
  <c r="E49" i="34"/>
  <c r="E54" i="34" s="1"/>
  <c r="F54" i="34" s="1"/>
  <c r="E50" i="43"/>
  <c r="B48" i="43" s="1"/>
  <c r="C28" i="43" s="1"/>
  <c r="T10" i="43" s="1"/>
  <c r="V10" i="43" s="1"/>
  <c r="I53" i="34"/>
  <c r="J53" i="34" s="1"/>
  <c r="S11" i="1"/>
  <c r="E11" i="70" s="1"/>
  <c r="S9" i="1"/>
  <c r="S10" i="1"/>
  <c r="E10" i="70" s="1"/>
  <c r="S12" i="1"/>
  <c r="P14" i="1"/>
  <c r="P16" i="1" s="1"/>
  <c r="C11" i="12" s="1"/>
  <c r="H67" i="39"/>
  <c r="G69" i="39"/>
  <c r="D11" i="71"/>
  <c r="C10" i="71"/>
  <c r="E53" i="34"/>
  <c r="F53" i="34" s="1"/>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F41" i="15"/>
  <c r="D10" i="83"/>
  <c r="F41" i="88"/>
  <c r="F41" i="67"/>
  <c r="F41" i="87"/>
  <c r="C17" i="82"/>
  <c r="C60" i="87" l="1"/>
  <c r="J29" i="88"/>
  <c r="F69" i="88"/>
  <c r="R49" i="33"/>
  <c r="C48" i="33" s="1"/>
  <c r="F69" i="67"/>
  <c r="J29" i="87"/>
  <c r="F69" i="87"/>
  <c r="I53" i="33"/>
  <c r="J53" i="33" s="1"/>
  <c r="G53" i="33"/>
  <c r="H53" i="33" s="1"/>
  <c r="C60" i="82"/>
  <c r="C10" i="83"/>
  <c r="C8" i="83" s="1"/>
  <c r="D19" i="83"/>
  <c r="D37" i="83" s="1"/>
  <c r="C37" i="83" s="1"/>
  <c r="L18" i="85"/>
  <c r="M19" i="85"/>
  <c r="C118" i="85" s="1"/>
  <c r="C31" i="84"/>
  <c r="O37" i="43"/>
  <c r="P37" i="84"/>
  <c r="O37" i="84"/>
  <c r="N37" i="84"/>
  <c r="M37" i="84"/>
  <c r="Q37" i="84"/>
  <c r="Q37" i="43"/>
  <c r="M37" i="43"/>
  <c r="N37" i="43"/>
  <c r="F69"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E12" i="70"/>
  <c r="F34" i="11"/>
  <c r="F11" i="12"/>
  <c r="E9" i="70"/>
  <c r="AR9" i="1"/>
  <c r="AQ9" i="1"/>
  <c r="T9" i="1"/>
  <c r="AQ11" i="1"/>
  <c r="AR11" i="1"/>
  <c r="T11" i="1"/>
  <c r="AR12" i="1"/>
  <c r="T12" i="1"/>
  <c r="AQ12" i="1"/>
  <c r="AQ10" i="1"/>
  <c r="T10" i="1"/>
  <c r="AR10" i="1"/>
  <c r="C15" i="12"/>
  <c r="C12" i="12"/>
  <c r="D8" i="74"/>
  <c r="D7" i="74"/>
  <c r="H69" i="39"/>
  <c r="I67" i="39"/>
  <c r="D10" i="71"/>
  <c r="C9" i="71"/>
  <c r="C8" i="71" s="1"/>
  <c r="G65" i="40"/>
  <c r="H63" i="40"/>
  <c r="C43" i="37"/>
  <c r="C42" i="37"/>
  <c r="I48" i="35"/>
  <c r="H58" i="21"/>
  <c r="E47" i="37"/>
  <c r="F47" i="37" s="1"/>
  <c r="E46" i="37"/>
  <c r="F46" i="37" s="1"/>
  <c r="I47" i="37"/>
  <c r="J47" i="37" s="1"/>
  <c r="E53" i="33"/>
  <c r="F53" i="33" s="1"/>
  <c r="E52" i="33"/>
  <c r="F52" i="33" s="1"/>
  <c r="M21" i="82"/>
  <c r="F35" i="82"/>
  <c r="C34" i="83"/>
  <c r="C14" i="82"/>
  <c r="C49" i="33" l="1"/>
  <c r="C18" i="82"/>
  <c r="C15" i="82"/>
  <c r="C35" i="83"/>
  <c r="C38" i="83"/>
  <c r="L19" i="85"/>
  <c r="J20" i="82"/>
  <c r="J17" i="82" s="1"/>
  <c r="C34" i="82"/>
  <c r="C31" i="82" s="1"/>
  <c r="F63" i="82"/>
  <c r="C62" i="82" s="1"/>
  <c r="C59" i="82" s="1"/>
  <c r="G42" i="43"/>
  <c r="I42" i="43" s="1"/>
  <c r="G37" i="43"/>
  <c r="I37" i="43" s="1"/>
  <c r="E40" i="43"/>
  <c r="E38" i="43"/>
  <c r="E41" i="43"/>
  <c r="G41" i="43"/>
  <c r="I41" i="43" s="1"/>
  <c r="G39" i="43"/>
  <c r="I39" i="43" s="1"/>
  <c r="D8" i="71"/>
  <c r="C7" i="71"/>
  <c r="C36" i="11"/>
  <c r="C23" i="12"/>
  <c r="C19" i="68"/>
  <c r="C19" i="69"/>
  <c r="C24" i="69" s="1"/>
  <c r="I69" i="39"/>
  <c r="J67" i="39"/>
  <c r="D9" i="71"/>
  <c r="I63" i="40"/>
  <c r="H65" i="40"/>
  <c r="I58" i="21"/>
  <c r="J58" i="21" s="1"/>
  <c r="K58" i="21" s="1"/>
  <c r="L58" i="21" s="1"/>
  <c r="M58" i="21" s="1"/>
  <c r="N58" i="21" s="1"/>
  <c r="O58" i="21" s="1"/>
  <c r="H7" i="21" s="1"/>
  <c r="J48" i="35"/>
  <c r="C19" i="82" l="1"/>
  <c r="C20" i="82" s="1"/>
  <c r="C26" i="82" s="1"/>
  <c r="C33" i="83"/>
  <c r="C39" i="83" s="1"/>
  <c r="F7" i="21"/>
  <c r="S7" i="21" s="1"/>
  <c r="J7" i="21"/>
  <c r="W7" i="21" s="1"/>
  <c r="D7" i="71"/>
  <c r="C6" i="71"/>
  <c r="C24" i="68"/>
  <c r="J69" i="39"/>
  <c r="K67" i="39"/>
  <c r="U7" i="21"/>
  <c r="AB7" i="21"/>
  <c r="T48" i="21" s="1"/>
  <c r="G48" i="21" s="1"/>
  <c r="J63" i="40"/>
  <c r="I65" i="40"/>
  <c r="K48" i="35"/>
  <c r="L48" i="35" s="1"/>
  <c r="M48" i="35" s="1"/>
  <c r="N48" i="35" s="1"/>
  <c r="O48" i="35" s="1"/>
  <c r="H7" i="35" s="1"/>
  <c r="L57" i="88" l="1"/>
  <c r="L60" i="88" s="1"/>
  <c r="C42" i="83"/>
  <c r="C46" i="83"/>
  <c r="C45" i="83" s="1"/>
  <c r="C43" i="83"/>
  <c r="C23" i="82"/>
  <c r="C29" i="82" s="1"/>
  <c r="AA7" i="21"/>
  <c r="R48" i="21" s="1"/>
  <c r="E48" i="21" s="1"/>
  <c r="AC7" i="21"/>
  <c r="V48" i="21" s="1"/>
  <c r="I48" i="21" s="1"/>
  <c r="G53" i="21" s="1"/>
  <c r="H53" i="21" s="1"/>
  <c r="J7" i="35"/>
  <c r="W7" i="35" s="1"/>
  <c r="D6" i="71"/>
  <c r="C5" i="71"/>
  <c r="L67" i="39"/>
  <c r="K69" i="39"/>
  <c r="J65" i="40"/>
  <c r="K63" i="40"/>
  <c r="I52" i="21"/>
  <c r="J52" i="21" s="1"/>
  <c r="U7" i="35"/>
  <c r="AB7" i="35"/>
  <c r="T38" i="35" s="1"/>
  <c r="G38" i="35" s="1"/>
  <c r="R49" i="21"/>
  <c r="G52" i="21"/>
  <c r="H52" i="21" s="1"/>
  <c r="F7" i="35"/>
  <c r="Q66" i="88" l="1"/>
  <c r="Q57" i="88"/>
  <c r="C41" i="83"/>
  <c r="C49" i="83" s="1"/>
  <c r="Q49" i="82"/>
  <c r="J14" i="82"/>
  <c r="C57" i="82"/>
  <c r="C64" i="82" s="1"/>
  <c r="C36" i="82"/>
  <c r="J59" i="82"/>
  <c r="J60" i="82" s="1"/>
  <c r="C13" i="82"/>
  <c r="AC7" i="35"/>
  <c r="V38" i="35" s="1"/>
  <c r="I38" i="35" s="1"/>
  <c r="G43" i="35" s="1"/>
  <c r="H43" i="35" s="1"/>
  <c r="D5" i="71"/>
  <c r="M24" i="43"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M69" i="39"/>
  <c r="N67" i="39"/>
  <c r="R39" i="35"/>
  <c r="E38" i="35"/>
  <c r="M63" i="40"/>
  <c r="L65" i="40"/>
  <c r="D2" i="21"/>
  <c r="L51" i="82"/>
  <c r="J16" i="82" l="1"/>
  <c r="J25" i="82" s="1"/>
  <c r="Q67" i="82"/>
  <c r="C40" i="82"/>
  <c r="C46" i="82" s="1"/>
  <c r="Q69" i="82"/>
  <c r="Q68" i="82" s="1"/>
  <c r="C71" i="82"/>
  <c r="C80" i="82"/>
  <c r="C79" i="82" s="1"/>
  <c r="B2" i="21"/>
  <c r="O67" i="39"/>
  <c r="O69" i="39" s="1"/>
  <c r="N69" i="39"/>
  <c r="F7" i="39"/>
  <c r="C39" i="35"/>
  <c r="C38" i="35"/>
  <c r="N63" i="40"/>
  <c r="M65" i="40"/>
  <c r="E43" i="35"/>
  <c r="F43" i="35" s="1"/>
  <c r="E42" i="35"/>
  <c r="F42" i="35" s="1"/>
  <c r="I43" i="35"/>
  <c r="J43" i="35" s="1"/>
  <c r="D2" i="33"/>
  <c r="C43" i="82" l="1"/>
  <c r="Q47" i="82"/>
  <c r="Q53" i="82" s="1"/>
  <c r="B2" i="82"/>
  <c r="Q65" i="82"/>
  <c r="Q75" i="82" s="1"/>
  <c r="Q56" i="82"/>
  <c r="Q62" i="82" s="1"/>
  <c r="C83" i="82"/>
  <c r="C82" i="82" s="1"/>
  <c r="L57" i="67"/>
  <c r="L60" i="67" s="1"/>
  <c r="H7" i="39"/>
  <c r="J7" i="39"/>
  <c r="S7" i="39"/>
  <c r="AA7" i="39"/>
  <c r="R47" i="39" s="1"/>
  <c r="O63" i="40"/>
  <c r="O65" i="40" s="1"/>
  <c r="N65" i="40"/>
  <c r="D2" i="34"/>
  <c r="D2" i="35"/>
  <c r="D2" i="37"/>
  <c r="D19" i="85"/>
  <c r="D2" i="36"/>
  <c r="D21" i="85" l="1"/>
  <c r="D102" i="85"/>
  <c r="B3" i="82"/>
  <c r="B3" i="33"/>
  <c r="Q57" i="67"/>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AO12" i="1"/>
  <c r="AO9" i="1"/>
  <c r="AO11" i="1"/>
  <c r="D20" i="85"/>
  <c r="AO10" i="1"/>
  <c r="D103" i="85" l="1"/>
  <c r="Q66"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15" i="74" l="1"/>
  <c r="F15" i="74"/>
  <c r="D59" i="9"/>
  <c r="M55" i="9"/>
  <c r="G15" i="74"/>
  <c r="B2" i="74"/>
  <c r="R10" i="1"/>
  <c r="R12" i="1"/>
  <c r="R9" i="1"/>
  <c r="R11" i="1"/>
  <c r="M18" i="85"/>
  <c r="B118" i="85" s="1"/>
  <c r="AL5" i="3"/>
  <c r="AC13" i="3"/>
  <c r="AC5" i="3" s="1"/>
  <c r="BQ13" i="3"/>
  <c r="BL13" i="3" s="1"/>
  <c r="BL5" i="3" s="1"/>
  <c r="H2" i="90"/>
  <c r="F2" i="90" s="1"/>
  <c r="E2" i="90" l="1"/>
  <c r="BQ5" i="3"/>
  <c r="F28" i="6" s="1"/>
  <c r="F30" i="6" l="1"/>
  <c r="E28" i="6"/>
  <c r="BC13" i="3"/>
  <c r="H13" i="3"/>
  <c r="K5" i="3"/>
  <c r="H5" i="3" l="1"/>
  <c r="G13" i="3"/>
  <c r="BC5" i="3"/>
  <c r="BA13" i="3"/>
  <c r="E30" i="6"/>
  <c r="K14" i="1"/>
  <c r="M14" i="1" s="1"/>
  <c r="I4" i="6"/>
  <c r="G3" i="43" s="1"/>
  <c r="Z7" i="43" l="1"/>
  <c r="J26" i="43"/>
  <c r="H26" i="43"/>
  <c r="N370" i="46"/>
  <c r="G26" i="43"/>
  <c r="N94" i="46"/>
  <c r="F26" i="43"/>
  <c r="E26" i="43"/>
  <c r="B116" i="43"/>
  <c r="D33" i="84"/>
  <c r="U2" i="86"/>
  <c r="E20" i="6"/>
  <c r="AZ13" i="3"/>
  <c r="AZ5" i="3" s="1"/>
  <c r="BA5" i="3"/>
  <c r="E11" i="6"/>
  <c r="E15" i="6"/>
  <c r="E10" i="6"/>
  <c r="E12" i="6"/>
  <c r="E14" i="6"/>
  <c r="E13" i="6"/>
  <c r="E8" i="6"/>
  <c r="B14" i="74"/>
  <c r="B1" i="74" s="1"/>
  <c r="G5" i="3"/>
  <c r="B3" i="3" s="1"/>
  <c r="E13" i="3" s="1"/>
  <c r="D1" i="84" l="1"/>
  <c r="C6" i="83"/>
  <c r="E33" i="84"/>
  <c r="C30" i="84" s="1"/>
  <c r="B2" i="84" s="1"/>
  <c r="E57" i="40"/>
  <c r="F57" i="40" s="1"/>
  <c r="E61" i="39"/>
  <c r="F61" i="39" s="1"/>
  <c r="E58" i="40"/>
  <c r="F58" i="40" s="1"/>
  <c r="E62" i="39"/>
  <c r="F62" i="39" s="1"/>
  <c r="E60" i="40"/>
  <c r="F60" i="40" s="1"/>
  <c r="E64" i="39"/>
  <c r="F64" i="39" s="1"/>
  <c r="D3" i="33"/>
  <c r="B2" i="33" s="1"/>
  <c r="K7" i="1"/>
  <c r="B118" i="43"/>
  <c r="B120" i="43"/>
  <c r="C120" i="43" s="1"/>
  <c r="B119" i="43"/>
  <c r="C119" i="43" s="1"/>
  <c r="G121" i="43"/>
  <c r="H121" i="43" s="1"/>
  <c r="B122" i="43"/>
  <c r="C122" i="43" s="1"/>
  <c r="I118" i="43"/>
  <c r="J118" i="43" s="1"/>
  <c r="K118" i="43" s="1"/>
  <c r="L118" i="43" s="1"/>
  <c r="M118" i="43" s="1"/>
  <c r="D118" i="43"/>
  <c r="E118" i="43" s="1"/>
  <c r="F118" i="43" s="1"/>
  <c r="G118" i="43" s="1"/>
  <c r="H118" i="43" s="1"/>
  <c r="I120" i="43"/>
  <c r="J120" i="43" s="1"/>
  <c r="K120" i="43" s="1"/>
  <c r="L120" i="43" s="1"/>
  <c r="M120" i="43" s="1"/>
  <c r="I119" i="43"/>
  <c r="J119" i="43" s="1"/>
  <c r="K119" i="43" s="1"/>
  <c r="L119" i="43" s="1"/>
  <c r="M119" i="43" s="1"/>
  <c r="D120" i="43"/>
  <c r="E120" i="43" s="1"/>
  <c r="F120" i="43" s="1"/>
  <c r="G120" i="43" s="1"/>
  <c r="H120" i="43" s="1"/>
  <c r="I121" i="43"/>
  <c r="J121" i="43" s="1"/>
  <c r="K121" i="43" s="1"/>
  <c r="L121" i="43" s="1"/>
  <c r="M121" i="43" s="1"/>
  <c r="D122" i="43"/>
  <c r="E122" i="43" s="1"/>
  <c r="F122" i="43" s="1"/>
  <c r="G122" i="43" s="1"/>
  <c r="H122" i="43" s="1"/>
  <c r="D119" i="43"/>
  <c r="E119" i="43" s="1"/>
  <c r="F119" i="43" s="1"/>
  <c r="G119" i="43" s="1"/>
  <c r="H119" i="43" s="1"/>
  <c r="B121" i="43"/>
  <c r="C121" i="43" s="1"/>
  <c r="D121" i="43"/>
  <c r="E121" i="43" s="1"/>
  <c r="F121" i="43" s="1"/>
  <c r="I122" i="43"/>
  <c r="J122" i="43" s="1"/>
  <c r="K122" i="43" s="1"/>
  <c r="L122" i="43" s="1"/>
  <c r="M122" i="43" s="1"/>
  <c r="E51" i="40"/>
  <c r="F51" i="40" s="1"/>
  <c r="E16" i="6"/>
  <c r="E56" i="39"/>
  <c r="AY6" i="3"/>
  <c r="E3" i="6"/>
  <c r="F27" i="6"/>
  <c r="E364" i="3"/>
  <c r="E142" i="3"/>
  <c r="E348" i="3"/>
  <c r="E250" i="3"/>
  <c r="E64" i="3"/>
  <c r="E248" i="3"/>
  <c r="E62" i="3"/>
  <c r="E147" i="3"/>
  <c r="E289" i="3"/>
  <c r="E372" i="3"/>
  <c r="E283" i="3"/>
  <c r="E464" i="3"/>
  <c r="E115" i="3"/>
  <c r="E88" i="3"/>
  <c r="E199" i="3"/>
  <c r="E333" i="3"/>
  <c r="E58" i="3"/>
  <c r="E275" i="3"/>
  <c r="E535" i="3"/>
  <c r="E390" i="3"/>
  <c r="E473" i="3"/>
  <c r="E544" i="3"/>
  <c r="E487" i="3"/>
  <c r="E386" i="3"/>
  <c r="E466" i="3"/>
  <c r="E95" i="3"/>
  <c r="E144" i="3"/>
  <c r="E389" i="3"/>
  <c r="E163" i="3"/>
  <c r="E25" i="3"/>
  <c r="E50" i="3"/>
  <c r="E149" i="3"/>
  <c r="E420" i="3"/>
  <c r="E394" i="3"/>
  <c r="E179" i="3"/>
  <c r="E108" i="3"/>
  <c r="E187" i="3"/>
  <c r="E129" i="3"/>
  <c r="E247" i="3"/>
  <c r="E343" i="3"/>
  <c r="E160" i="3"/>
  <c r="E340" i="3"/>
  <c r="E267" i="3"/>
  <c r="E307" i="3"/>
  <c r="E440" i="3"/>
  <c r="E36" i="3"/>
  <c r="Y6" i="3"/>
  <c r="E242" i="3"/>
  <c r="E523" i="3"/>
  <c r="E249" i="3"/>
  <c r="E427" i="3"/>
  <c r="E582" i="3"/>
  <c r="E356" i="3"/>
  <c r="E550" i="3"/>
  <c r="E435" i="3"/>
  <c r="E200" i="3"/>
  <c r="E499" i="3"/>
  <c r="E34" i="3"/>
  <c r="E537" i="3"/>
  <c r="E338" i="3"/>
  <c r="E422" i="3"/>
  <c r="E374" i="3"/>
  <c r="E355" i="3"/>
  <c r="E174" i="3"/>
  <c r="E554" i="3"/>
  <c r="E155" i="3"/>
  <c r="E419" i="3"/>
  <c r="E292" i="3"/>
  <c r="E167" i="3"/>
  <c r="E112" i="3"/>
  <c r="E16" i="3"/>
  <c r="E194" i="3"/>
  <c r="E131" i="3"/>
  <c r="E525" i="3"/>
  <c r="E269" i="3"/>
  <c r="E15" i="3"/>
  <c r="E329" i="3"/>
  <c r="E416" i="3"/>
  <c r="E391" i="3"/>
  <c r="E238" i="3"/>
  <c r="E154" i="3"/>
  <c r="E158" i="3"/>
  <c r="E100" i="3"/>
  <c r="E243" i="3"/>
  <c r="E148" i="3"/>
  <c r="E206" i="3"/>
  <c r="E371" i="3"/>
  <c r="I3" i="6"/>
  <c r="E22" i="3"/>
  <c r="E300" i="3"/>
  <c r="E524" i="3"/>
  <c r="E425" i="3"/>
  <c r="E326" i="3"/>
  <c r="E296" i="3"/>
  <c r="E291" i="3"/>
  <c r="E346" i="3"/>
  <c r="E218" i="3"/>
  <c r="E421" i="3"/>
  <c r="E225" i="3"/>
  <c r="E114" i="3"/>
  <c r="E233" i="3"/>
  <c r="E116" i="3"/>
  <c r="E56" i="3"/>
  <c r="E504" i="3"/>
  <c r="E46" i="3"/>
  <c r="E90" i="3"/>
  <c r="E20" i="3"/>
  <c r="E219" i="3"/>
  <c r="E212" i="3"/>
  <c r="E222" i="3"/>
  <c r="AH6" i="3"/>
  <c r="E87" i="3"/>
  <c r="E47" i="3"/>
  <c r="E451" i="3"/>
  <c r="E181" i="3"/>
  <c r="E33" i="3"/>
  <c r="E376" i="3"/>
  <c r="E520" i="3"/>
  <c r="E412" i="3"/>
  <c r="E28" i="3"/>
  <c r="E393" i="3"/>
  <c r="E152" i="3"/>
  <c r="R6" i="3"/>
  <c r="AF6" i="3"/>
  <c r="E349" i="3"/>
  <c r="E236" i="3"/>
  <c r="E21" i="3"/>
  <c r="E335" i="3"/>
  <c r="E483" i="3"/>
  <c r="E469" i="3"/>
  <c r="E521" i="3"/>
  <c r="E60" i="3"/>
  <c r="E26" i="3"/>
  <c r="E258" i="3"/>
  <c r="AQ6" i="3"/>
  <c r="AP6" i="3"/>
  <c r="E49" i="3"/>
  <c r="E45" i="3"/>
  <c r="E359" i="3"/>
  <c r="E493" i="3"/>
  <c r="E339" i="3"/>
  <c r="E462" i="3"/>
  <c r="E497" i="3"/>
  <c r="E73" i="3"/>
  <c r="E103" i="3"/>
  <c r="E350" i="3"/>
  <c r="E284" i="3"/>
  <c r="E245" i="3"/>
  <c r="E105" i="3"/>
  <c r="E474" i="3"/>
  <c r="E98" i="3"/>
  <c r="E498" i="3"/>
  <c r="E534" i="3"/>
  <c r="E417" i="3"/>
  <c r="E209" i="3"/>
  <c r="E502" i="3"/>
  <c r="E522" i="3"/>
  <c r="E263" i="3"/>
  <c r="E150" i="3"/>
  <c r="E23" i="3"/>
  <c r="E195" i="3"/>
  <c r="E259" i="3"/>
  <c r="E408" i="3"/>
  <c r="E367" i="3"/>
  <c r="E76" i="3"/>
  <c r="E197" i="3"/>
  <c r="E178" i="3"/>
  <c r="E360" i="3"/>
  <c r="E66" i="3"/>
  <c r="E96" i="3"/>
  <c r="E40" i="3"/>
  <c r="E539" i="3"/>
  <c r="E35" i="3"/>
  <c r="E170" i="3"/>
  <c r="E19" i="3"/>
  <c r="E484" i="3"/>
  <c r="E492" i="3"/>
  <c r="E401" i="3"/>
  <c r="E53" i="3"/>
  <c r="E137" i="3"/>
  <c r="E411" i="3"/>
  <c r="E465" i="3"/>
  <c r="E84" i="3"/>
  <c r="E316" i="3"/>
  <c r="E309" i="3"/>
  <c r="E119" i="3"/>
  <c r="E240" i="3"/>
  <c r="E18" i="3"/>
  <c r="E368" i="3"/>
  <c r="E270" i="3"/>
  <c r="E123" i="3"/>
  <c r="E479" i="3"/>
  <c r="E80" i="3"/>
  <c r="E205" i="3"/>
  <c r="E561" i="3"/>
  <c r="E442" i="3"/>
  <c r="E365" i="3"/>
  <c r="E373" i="3"/>
  <c r="E81" i="3"/>
  <c r="E276" i="3"/>
  <c r="AA6" i="3"/>
  <c r="E54" i="3"/>
  <c r="E138" i="3"/>
  <c r="E331" i="3"/>
  <c r="E127" i="3"/>
  <c r="J6" i="3"/>
  <c r="E436" i="3"/>
  <c r="E75" i="3"/>
  <c r="E193" i="3"/>
  <c r="E132" i="3"/>
  <c r="E354" i="3"/>
  <c r="E255" i="3"/>
  <c r="E251" i="3"/>
  <c r="E224" i="3"/>
  <c r="E549" i="3"/>
  <c r="E513" i="3"/>
  <c r="E183" i="3"/>
  <c r="E299" i="3"/>
  <c r="E330" i="3"/>
  <c r="E264" i="3"/>
  <c r="E217" i="3"/>
  <c r="E324" i="3"/>
  <c r="E223" i="3"/>
  <c r="Q6" i="3"/>
  <c r="E449" i="3"/>
  <c r="E38" i="3"/>
  <c r="E536" i="3"/>
  <c r="E235" i="3"/>
  <c r="E570" i="3"/>
  <c r="E303" i="3"/>
  <c r="E323" i="3"/>
  <c r="E409" i="3"/>
  <c r="E39" i="3"/>
  <c r="E405" i="3"/>
  <c r="E546" i="3"/>
  <c r="E24" i="3"/>
  <c r="E265" i="3"/>
  <c r="E43" i="3"/>
  <c r="E429" i="3"/>
  <c r="E48" i="3"/>
  <c r="E363" i="3"/>
  <c r="E463" i="3"/>
  <c r="N6" i="3"/>
  <c r="E486" i="3"/>
  <c r="E540" i="3"/>
  <c r="E559" i="3"/>
  <c r="E494" i="3"/>
  <c r="E176" i="3"/>
  <c r="Z6" i="3"/>
  <c r="E575" i="3"/>
  <c r="L6" i="3"/>
  <c r="E488" i="3"/>
  <c r="E190" i="3"/>
  <c r="E273" i="3"/>
  <c r="E380" i="3"/>
  <c r="E68" i="3"/>
  <c r="E241" i="3"/>
  <c r="E308" i="3"/>
  <c r="E369" i="3"/>
  <c r="E72" i="3"/>
  <c r="E192" i="3"/>
  <c r="E287" i="3"/>
  <c r="E173" i="3"/>
  <c r="E528" i="3"/>
  <c r="E387" i="3"/>
  <c r="E61" i="3"/>
  <c r="E453" i="3"/>
  <c r="E495" i="3"/>
  <c r="E586" i="3"/>
  <c r="E485" i="3"/>
  <c r="E30" i="3"/>
  <c r="E478" i="3"/>
  <c r="S6" i="3"/>
  <c r="E140" i="3"/>
  <c r="E377" i="3"/>
  <c r="E239" i="3"/>
  <c r="E31" i="3"/>
  <c r="O6" i="3"/>
  <c r="E434" i="3"/>
  <c r="E110" i="3"/>
  <c r="E556" i="3"/>
  <c r="E562" i="3"/>
  <c r="E191" i="3"/>
  <c r="E120" i="3"/>
  <c r="E55" i="3"/>
  <c r="E410" i="3"/>
  <c r="E280" i="3"/>
  <c r="E572" i="3"/>
  <c r="E151" i="3"/>
  <c r="U6" i="3"/>
  <c r="E432" i="3"/>
  <c r="E347" i="3"/>
  <c r="E201" i="3"/>
  <c r="E294" i="3"/>
  <c r="E93" i="3"/>
  <c r="E318" i="3"/>
  <c r="E384" i="3"/>
  <c r="E297" i="3"/>
  <c r="E512" i="3"/>
  <c r="E475" i="3"/>
  <c r="E445" i="3"/>
  <c r="E77" i="3"/>
  <c r="E424" i="3"/>
  <c r="E439" i="3"/>
  <c r="E418" i="3"/>
  <c r="E182" i="3"/>
  <c r="E516" i="3"/>
  <c r="E511" i="3"/>
  <c r="E317" i="3"/>
  <c r="AR6" i="3"/>
  <c r="E509" i="3"/>
  <c r="E551" i="3"/>
  <c r="E548" i="3"/>
  <c r="E476" i="3"/>
  <c r="E286" i="3"/>
  <c r="E86" i="3"/>
  <c r="E406" i="3"/>
  <c r="E441" i="3"/>
  <c r="E322" i="3"/>
  <c r="E407" i="3"/>
  <c r="E145" i="3"/>
  <c r="E272" i="3"/>
  <c r="E261" i="3"/>
  <c r="E171" i="3"/>
  <c r="P6" i="3"/>
  <c r="E113" i="3"/>
  <c r="E341" i="3"/>
  <c r="E52" i="3"/>
  <c r="E517" i="3"/>
  <c r="E63" i="3"/>
  <c r="E51" i="3"/>
  <c r="E202" i="3"/>
  <c r="E507" i="3"/>
  <c r="E82" i="3"/>
  <c r="E79" i="3"/>
  <c r="E188" i="3"/>
  <c r="E459" i="3"/>
  <c r="E281" i="3"/>
  <c r="E396" i="3"/>
  <c r="E541" i="3"/>
  <c r="E455" i="3"/>
  <c r="E65" i="3"/>
  <c r="E342" i="3"/>
  <c r="E545" i="3"/>
  <c r="E477" i="3"/>
  <c r="E446" i="3"/>
  <c r="E383" i="3"/>
  <c r="E156" i="3"/>
  <c r="E254" i="3"/>
  <c r="E109" i="3"/>
  <c r="E358" i="3"/>
  <c r="E403" i="3"/>
  <c r="E501" i="3"/>
  <c r="E91" i="3"/>
  <c r="E450" i="3"/>
  <c r="E164" i="3"/>
  <c r="E228" i="3"/>
  <c r="E207" i="3"/>
  <c r="W6" i="3"/>
  <c r="E89" i="3"/>
  <c r="E581" i="3"/>
  <c r="E126" i="3"/>
  <c r="E433" i="3"/>
  <c r="E491" i="3"/>
  <c r="E102" i="3"/>
  <c r="E510" i="3"/>
  <c r="E92" i="3"/>
  <c r="E514" i="3"/>
  <c r="E260" i="3"/>
  <c r="E519" i="3"/>
  <c r="E571" i="3"/>
  <c r="E503" i="3"/>
  <c r="E204" i="3"/>
  <c r="E166" i="3"/>
  <c r="E568" i="3"/>
  <c r="E237" i="3"/>
  <c r="E461" i="3"/>
  <c r="E70" i="3"/>
  <c r="E366" i="3"/>
  <c r="E505" i="3"/>
  <c r="E506" i="3"/>
  <c r="E430" i="3"/>
  <c r="E232" i="3"/>
  <c r="E532" i="3"/>
  <c r="E17" i="3"/>
  <c r="E431" i="3"/>
  <c r="E130" i="3"/>
  <c r="E208" i="3"/>
  <c r="E585" i="3"/>
  <c r="E216" i="3"/>
  <c r="E74" i="3"/>
  <c r="E444" i="3"/>
  <c r="E567" i="3"/>
  <c r="E159" i="3"/>
  <c r="E157" i="3"/>
  <c r="E557" i="3"/>
  <c r="E334" i="3"/>
  <c r="E457" i="3"/>
  <c r="E565" i="3"/>
  <c r="E460" i="3"/>
  <c r="E482" i="3"/>
  <c r="E345" i="3"/>
  <c r="E313" i="3"/>
  <c r="E400" i="3"/>
  <c r="E480" i="3"/>
  <c r="E279" i="3"/>
  <c r="E221" i="3"/>
  <c r="E172" i="3"/>
  <c r="E306" i="3"/>
  <c r="E312" i="3"/>
  <c r="E246" i="3"/>
  <c r="E136" i="3"/>
  <c r="E542" i="3"/>
  <c r="E226" i="3"/>
  <c r="E467" i="3"/>
  <c r="E413" i="3"/>
  <c r="E381" i="3"/>
  <c r="E543" i="3"/>
  <c r="E310" i="3"/>
  <c r="E375" i="3"/>
  <c r="E456" i="3"/>
  <c r="E196" i="3"/>
  <c r="E234" i="3"/>
  <c r="E564" i="3"/>
  <c r="E500" i="3"/>
  <c r="E94" i="3"/>
  <c r="E315" i="3"/>
  <c r="E101" i="3"/>
  <c r="E566" i="3"/>
  <c r="E42" i="3"/>
  <c r="E106" i="3"/>
  <c r="E438" i="3"/>
  <c r="E327" i="3"/>
  <c r="E295" i="3"/>
  <c r="E547" i="3"/>
  <c r="E253" i="3"/>
  <c r="E189" i="3"/>
  <c r="E578" i="3"/>
  <c r="E472" i="3"/>
  <c r="E143" i="3"/>
  <c r="E153" i="3"/>
  <c r="E423" i="3"/>
  <c r="E314" i="3"/>
  <c r="E203" i="3"/>
  <c r="E305" i="3"/>
  <c r="E302" i="3"/>
  <c r="E378" i="3"/>
  <c r="E220" i="3"/>
  <c r="E278" i="3"/>
  <c r="E508" i="3"/>
  <c r="E211" i="3"/>
  <c r="E569" i="3"/>
  <c r="E111" i="3"/>
  <c r="E97" i="3"/>
  <c r="AI6" i="3"/>
  <c r="E437" i="3"/>
  <c r="E32" i="3"/>
  <c r="E397" i="3"/>
  <c r="E162" i="3"/>
  <c r="E458" i="3"/>
  <c r="E362" i="3"/>
  <c r="E448" i="3"/>
  <c r="E587" i="3"/>
  <c r="E515" i="3"/>
  <c r="E57" i="3"/>
  <c r="E78" i="3"/>
  <c r="AJ6" i="3"/>
  <c r="E352" i="3"/>
  <c r="E489" i="3"/>
  <c r="E282" i="3"/>
  <c r="E379" i="3"/>
  <c r="E298" i="3"/>
  <c r="E135" i="3"/>
  <c r="AK6" i="3"/>
  <c r="E256" i="3"/>
  <c r="E27" i="3"/>
  <c r="E328" i="3"/>
  <c r="E262" i="3"/>
  <c r="E146" i="3"/>
  <c r="E252" i="3"/>
  <c r="E107" i="3"/>
  <c r="E210" i="3"/>
  <c r="E141" i="3"/>
  <c r="E104" i="3"/>
  <c r="E125" i="3"/>
  <c r="E85" i="3"/>
  <c r="E454" i="3"/>
  <c r="E576" i="3"/>
  <c r="E388" i="3"/>
  <c r="E41" i="3"/>
  <c r="E392" i="3"/>
  <c r="E118" i="3"/>
  <c r="E198" i="3"/>
  <c r="E584" i="3"/>
  <c r="E325" i="3"/>
  <c r="E428" i="3"/>
  <c r="E59" i="3"/>
  <c r="E184" i="3"/>
  <c r="E37" i="3"/>
  <c r="E370" i="3"/>
  <c r="E288" i="3"/>
  <c r="E177" i="3"/>
  <c r="E490" i="3"/>
  <c r="E67" i="3"/>
  <c r="E244" i="3"/>
  <c r="E470" i="3"/>
  <c r="E558" i="3"/>
  <c r="E266" i="3"/>
  <c r="E165" i="3"/>
  <c r="E452" i="3"/>
  <c r="AG6" i="3"/>
  <c r="E385" i="3"/>
  <c r="E527" i="3"/>
  <c r="E274" i="3"/>
  <c r="E44" i="3"/>
  <c r="E321" i="3"/>
  <c r="E268" i="3"/>
  <c r="V6" i="3"/>
  <c r="E357" i="3"/>
  <c r="E168" i="3"/>
  <c r="E124" i="3"/>
  <c r="M6" i="3"/>
  <c r="E415" i="3"/>
  <c r="E468" i="3"/>
  <c r="E353" i="3"/>
  <c r="E337" i="3"/>
  <c r="E398" i="3"/>
  <c r="E332" i="3"/>
  <c r="E293" i="3"/>
  <c r="E471" i="3"/>
  <c r="E227" i="3"/>
  <c r="E404" i="3"/>
  <c r="AM6" i="3"/>
  <c r="E14" i="3"/>
  <c r="AB6" i="3"/>
  <c r="E290" i="3"/>
  <c r="E99" i="3"/>
  <c r="E231" i="3"/>
  <c r="E169" i="3"/>
  <c r="E161" i="3"/>
  <c r="E336" i="3"/>
  <c r="E577" i="3"/>
  <c r="E533" i="3"/>
  <c r="E574" i="3"/>
  <c r="E552" i="3"/>
  <c r="E139" i="3"/>
  <c r="E320" i="3"/>
  <c r="E133" i="3"/>
  <c r="E214" i="3"/>
  <c r="E443" i="3"/>
  <c r="E351" i="3"/>
  <c r="E447" i="3"/>
  <c r="E311" i="3"/>
  <c r="E395" i="3"/>
  <c r="E122" i="3"/>
  <c r="E180" i="3"/>
  <c r="E555" i="3"/>
  <c r="E563" i="3"/>
  <c r="E382" i="3"/>
  <c r="E573" i="3"/>
  <c r="E185" i="3"/>
  <c r="E213" i="3"/>
  <c r="E83" i="3"/>
  <c r="T6" i="3"/>
  <c r="E414" i="3"/>
  <c r="E69" i="3"/>
  <c r="E518" i="3"/>
  <c r="E277" i="3"/>
  <c r="E361" i="3"/>
  <c r="AN6" i="3"/>
  <c r="E531" i="3"/>
  <c r="E553" i="3"/>
  <c r="E257" i="3"/>
  <c r="AS6" i="3"/>
  <c r="E230" i="3"/>
  <c r="E530" i="3"/>
  <c r="E304" i="3"/>
  <c r="X6" i="3"/>
  <c r="AE6" i="3"/>
  <c r="E580" i="3"/>
  <c r="E186" i="3"/>
  <c r="E285" i="3"/>
  <c r="E319" i="3"/>
  <c r="E496" i="3"/>
  <c r="E399" i="3"/>
  <c r="E175" i="3"/>
  <c r="E215" i="3"/>
  <c r="E117" i="3"/>
  <c r="E128" i="3"/>
  <c r="E134" i="3"/>
  <c r="E538" i="3"/>
  <c r="E579" i="3"/>
  <c r="E344" i="3"/>
  <c r="E426" i="3"/>
  <c r="E301" i="3"/>
  <c r="E526" i="3"/>
  <c r="E229" i="3"/>
  <c r="E481" i="3"/>
  <c r="E29" i="3"/>
  <c r="E583" i="3"/>
  <c r="E71" i="3"/>
  <c r="E560" i="3"/>
  <c r="E529" i="3"/>
  <c r="AO6" i="3"/>
  <c r="E121" i="3"/>
  <c r="E271" i="3"/>
  <c r="E402" i="3"/>
  <c r="I6" i="3"/>
  <c r="AD6" i="3"/>
  <c r="AL6" i="3"/>
  <c r="K6" i="3"/>
  <c r="E59" i="40"/>
  <c r="F59" i="40" s="1"/>
  <c r="E63" i="39"/>
  <c r="F63" i="39" s="1"/>
  <c r="E56" i="40"/>
  <c r="F56" i="40" s="1"/>
  <c r="E60" i="39"/>
  <c r="F60" i="39" s="1"/>
  <c r="V2" i="86"/>
  <c r="U3" i="86"/>
  <c r="V3" i="86" s="1"/>
  <c r="D26" i="43"/>
  <c r="C25" i="43" s="1"/>
  <c r="F7" i="67"/>
  <c r="F7" i="15"/>
  <c r="F43" i="15"/>
  <c r="M29" i="67"/>
  <c r="M29" i="15"/>
  <c r="F43" i="67"/>
  <c r="B3" i="84" l="1"/>
  <c r="F31" i="6"/>
  <c r="F39" i="6"/>
  <c r="E39" i="6" s="1"/>
  <c r="E27" i="6"/>
  <c r="K20" i="6" s="1"/>
  <c r="M20" i="6" s="1"/>
  <c r="I20" i="6" s="1"/>
  <c r="S20" i="6" s="1"/>
  <c r="AC6" i="3"/>
  <c r="H6" i="3"/>
  <c r="F71" i="67"/>
  <c r="F50" i="15"/>
  <c r="C49" i="15" s="1"/>
  <c r="C6" i="15"/>
  <c r="M7" i="15"/>
  <c r="J6" i="15" s="1"/>
  <c r="C6" i="67"/>
  <c r="F50" i="67"/>
  <c r="C49" i="67" s="1"/>
  <c r="M7" i="67"/>
  <c r="J6" i="67" s="1"/>
  <c r="F71" i="15"/>
  <c r="L18" i="9"/>
  <c r="D3" i="34"/>
  <c r="B3" i="34" s="1"/>
  <c r="D3" i="37"/>
  <c r="B3" i="37" s="1"/>
  <c r="D3" i="21"/>
  <c r="B3" i="21" s="1"/>
  <c r="D37" i="11"/>
  <c r="C37" i="11" s="1"/>
  <c r="D14" i="12"/>
  <c r="D19" i="11"/>
  <c r="C19" i="11" s="1"/>
  <c r="E6" i="6"/>
  <c r="C17" i="4"/>
  <c r="B4" i="52" s="1"/>
  <c r="B43" i="72" s="1"/>
  <c r="M18" i="9"/>
  <c r="B118" i="9" s="1"/>
  <c r="C118" i="43"/>
  <c r="D116" i="43" s="1"/>
  <c r="D3" i="6"/>
  <c r="AY490" i="3"/>
  <c r="AY430" i="3"/>
  <c r="AY19" i="3"/>
  <c r="AY110" i="3"/>
  <c r="AY78" i="3"/>
  <c r="AY226" i="3"/>
  <c r="AY351" i="3"/>
  <c r="BD6" i="3"/>
  <c r="AY566" i="3"/>
  <c r="AY432" i="3"/>
  <c r="AY429" i="3"/>
  <c r="AY572" i="3"/>
  <c r="AY125" i="3"/>
  <c r="AY551" i="3"/>
  <c r="AY564" i="3"/>
  <c r="AY502" i="3"/>
  <c r="AY182" i="3"/>
  <c r="AY391" i="3"/>
  <c r="AY524" i="3"/>
  <c r="AY309" i="3"/>
  <c r="AY523" i="3"/>
  <c r="AY450" i="3"/>
  <c r="AY53" i="3"/>
  <c r="AY500" i="3"/>
  <c r="AY482" i="3"/>
  <c r="AY424" i="3"/>
  <c r="AY417" i="3"/>
  <c r="AY103" i="3"/>
  <c r="AY17" i="3"/>
  <c r="AY388" i="3"/>
  <c r="AY396" i="3"/>
  <c r="AY298" i="3"/>
  <c r="AY251" i="3"/>
  <c r="AY316" i="3"/>
  <c r="AY394" i="3"/>
  <c r="AY296" i="3"/>
  <c r="AY264" i="3"/>
  <c r="AY112" i="3"/>
  <c r="AY155" i="3"/>
  <c r="AY63" i="3"/>
  <c r="AY520" i="3"/>
  <c r="AY489" i="3"/>
  <c r="AY576" i="3"/>
  <c r="AY455" i="3"/>
  <c r="BT6" i="3"/>
  <c r="AY288" i="3"/>
  <c r="AY256" i="3"/>
  <c r="AY215" i="3"/>
  <c r="AY544" i="3"/>
  <c r="AY440" i="3"/>
  <c r="AY72" i="3"/>
  <c r="AY538" i="3"/>
  <c r="AY431" i="3"/>
  <c r="AY407" i="3"/>
  <c r="AY404" i="3"/>
  <c r="AY200" i="3"/>
  <c r="AY185" i="3"/>
  <c r="AY486" i="3"/>
  <c r="AY39" i="3"/>
  <c r="AY445" i="3"/>
  <c r="AY484" i="3"/>
  <c r="AY128" i="3"/>
  <c r="AY181" i="3"/>
  <c r="AY271" i="3"/>
  <c r="AY488" i="3"/>
  <c r="AY28" i="3"/>
  <c r="AY248" i="3"/>
  <c r="AY14" i="3"/>
  <c r="BE6" i="3"/>
  <c r="AY479" i="3"/>
  <c r="AY321" i="3"/>
  <c r="AY328" i="3"/>
  <c r="AY571" i="3"/>
  <c r="AY515" i="3"/>
  <c r="AY285" i="3"/>
  <c r="AY107" i="3"/>
  <c r="AY13" i="3"/>
  <c r="AY560" i="3"/>
  <c r="AY193" i="3"/>
  <c r="AY284" i="3"/>
  <c r="AY250" i="3"/>
  <c r="AY122" i="3"/>
  <c r="AY282" i="3"/>
  <c r="AY333" i="3"/>
  <c r="AY55" i="3"/>
  <c r="AY471" i="3"/>
  <c r="AY384" i="3"/>
  <c r="AY400" i="3"/>
  <c r="AY148" i="3"/>
  <c r="AY73" i="3"/>
  <c r="BP6" i="3"/>
  <c r="AY537" i="3"/>
  <c r="BR6" i="3"/>
  <c r="AY239" i="3"/>
  <c r="AY54" i="3"/>
  <c r="AY224" i="3"/>
  <c r="AY477" i="3"/>
  <c r="AY375" i="3"/>
  <c r="AY354" i="3"/>
  <c r="AY483" i="3"/>
  <c r="AY76" i="3"/>
  <c r="AY505" i="3"/>
  <c r="AY418" i="3"/>
  <c r="AY423" i="3"/>
  <c r="AY355" i="3"/>
  <c r="AY241" i="3"/>
  <c r="AY506" i="3"/>
  <c r="AY258" i="3"/>
  <c r="AY532" i="3"/>
  <c r="AY218" i="3"/>
  <c r="AY199" i="3"/>
  <c r="AY315" i="3"/>
  <c r="AY216" i="3"/>
  <c r="AY376" i="3"/>
  <c r="AY147" i="3"/>
  <c r="AY131" i="3"/>
  <c r="AY336" i="3"/>
  <c r="AY443" i="3"/>
  <c r="AY153" i="3"/>
  <c r="AY32" i="3"/>
  <c r="AY194" i="3"/>
  <c r="AY145" i="3"/>
  <c r="AY151" i="3"/>
  <c r="AY402" i="3"/>
  <c r="AY172" i="3"/>
  <c r="AY38" i="3"/>
  <c r="AY102" i="3"/>
  <c r="AY373" i="3"/>
  <c r="AY249" i="3"/>
  <c r="AY436" i="3"/>
  <c r="AY574" i="3"/>
  <c r="AY290" i="3"/>
  <c r="AY21" i="3"/>
  <c r="AY370" i="3"/>
  <c r="AY58" i="3"/>
  <c r="AY413" i="3"/>
  <c r="AY550" i="3"/>
  <c r="AY552" i="3"/>
  <c r="AY278" i="3"/>
  <c r="AY322" i="3"/>
  <c r="AY65" i="3"/>
  <c r="AY62" i="3"/>
  <c r="AY563" i="3"/>
  <c r="AY99" i="3"/>
  <c r="AY150" i="3"/>
  <c r="AY307" i="3"/>
  <c r="AY208" i="3"/>
  <c r="AY367" i="3"/>
  <c r="AY324" i="3"/>
  <c r="AY92" i="3"/>
  <c r="AY346" i="3"/>
  <c r="AY287" i="3"/>
  <c r="AY69" i="3"/>
  <c r="AY493" i="3"/>
  <c r="AY312" i="3"/>
  <c r="AY327" i="3"/>
  <c r="AY361" i="3"/>
  <c r="AY235" i="3"/>
  <c r="AY223" i="3"/>
  <c r="AY472" i="3"/>
  <c r="AY476" i="3"/>
  <c r="AY570" i="3"/>
  <c r="AY408" i="3"/>
  <c r="AY330" i="3"/>
  <c r="AY469" i="3"/>
  <c r="AY343" i="3"/>
  <c r="AY371" i="3"/>
  <c r="AY174" i="3"/>
  <c r="AY498" i="3"/>
  <c r="AY37" i="3"/>
  <c r="AY202" i="3"/>
  <c r="BL6" i="3"/>
  <c r="AY344" i="3"/>
  <c r="AY255" i="3"/>
  <c r="AY293" i="3"/>
  <c r="AY437" i="3"/>
  <c r="AY262" i="3"/>
  <c r="AY522" i="3"/>
  <c r="AY399" i="3"/>
  <c r="AY499" i="3"/>
  <c r="BO6" i="3"/>
  <c r="AY485" i="3"/>
  <c r="AY91" i="3"/>
  <c r="AY240" i="3"/>
  <c r="AY136" i="3"/>
  <c r="AY277" i="3"/>
  <c r="AY121" i="3"/>
  <c r="AY401" i="3"/>
  <c r="AY547" i="3"/>
  <c r="AY461" i="3"/>
  <c r="AY362" i="3"/>
  <c r="AY368" i="3"/>
  <c r="AY304" i="3"/>
  <c r="AY18" i="3"/>
  <c r="AY439" i="3"/>
  <c r="AY527" i="3"/>
  <c r="AY334" i="3"/>
  <c r="AY554" i="3"/>
  <c r="AY228" i="3"/>
  <c r="AY87" i="3"/>
  <c r="AY94" i="3"/>
  <c r="AY419" i="3"/>
  <c r="AY31" i="3"/>
  <c r="AY562" i="3"/>
  <c r="AY71" i="3"/>
  <c r="AY319" i="3"/>
  <c r="AY352" i="3"/>
  <c r="AY347" i="3"/>
  <c r="AY192" i="3"/>
  <c r="AY270" i="3"/>
  <c r="AY438" i="3"/>
  <c r="AY545" i="3"/>
  <c r="AY257" i="3"/>
  <c r="AY463" i="3"/>
  <c r="AY415" i="3"/>
  <c r="AY205" i="3"/>
  <c r="AY426" i="3"/>
  <c r="AY191" i="3"/>
  <c r="AY164" i="3"/>
  <c r="AY48" i="3"/>
  <c r="BK6" i="3"/>
  <c r="AY273" i="3"/>
  <c r="AY369" i="3"/>
  <c r="AY478" i="3"/>
  <c r="AY387" i="3"/>
  <c r="AY360" i="3"/>
  <c r="AY260" i="3"/>
  <c r="AY238" i="3"/>
  <c r="AY308" i="3"/>
  <c r="AY16" i="3"/>
  <c r="AY246" i="3"/>
  <c r="AY64" i="3"/>
  <c r="AY15" i="3"/>
  <c r="AY156" i="3"/>
  <c r="AY421" i="3"/>
  <c r="AY84" i="3"/>
  <c r="AY135" i="3"/>
  <c r="AY379" i="3"/>
  <c r="AY447" i="3"/>
  <c r="AY177" i="3"/>
  <c r="AY433" i="3"/>
  <c r="AY95" i="3"/>
  <c r="AY280" i="3"/>
  <c r="AY519" i="3"/>
  <c r="AY212" i="3"/>
  <c r="AY146" i="3"/>
  <c r="AY348" i="3"/>
  <c r="AY61" i="3"/>
  <c r="AY225" i="3"/>
  <c r="AY220" i="3"/>
  <c r="AY555" i="3"/>
  <c r="AY274" i="3"/>
  <c r="AY386" i="3"/>
  <c r="AY217" i="3"/>
  <c r="AY492" i="3"/>
  <c r="AY583" i="3"/>
  <c r="AY514" i="3"/>
  <c r="AY558" i="3"/>
  <c r="AY141" i="3"/>
  <c r="AY25" i="3"/>
  <c r="AY349" i="3"/>
  <c r="AY108" i="3"/>
  <c r="AY253" i="3"/>
  <c r="AY466" i="3"/>
  <c r="AY129" i="3"/>
  <c r="AY100" i="3"/>
  <c r="BS6" i="3"/>
  <c r="AY398" i="3"/>
  <c r="AY154" i="3"/>
  <c r="AY289" i="3"/>
  <c r="AY326" i="3"/>
  <c r="AY117" i="3"/>
  <c r="AY491" i="3"/>
  <c r="AY127" i="3"/>
  <c r="AY165" i="3"/>
  <c r="AY231" i="3"/>
  <c r="AY275" i="3"/>
  <c r="AY372" i="3"/>
  <c r="AY392" i="3"/>
  <c r="AY428" i="3"/>
  <c r="AY51" i="3"/>
  <c r="AY567" i="3"/>
  <c r="AY449" i="3"/>
  <c r="AY196" i="3"/>
  <c r="AY356" i="3"/>
  <c r="AY52" i="3"/>
  <c r="AY206" i="3"/>
  <c r="AY67" i="3"/>
  <c r="AY511" i="3"/>
  <c r="AY198" i="3"/>
  <c r="AY111" i="3"/>
  <c r="AY222" i="3"/>
  <c r="AY229" i="3"/>
  <c r="AY60" i="3"/>
  <c r="AY548" i="3"/>
  <c r="AY526" i="3"/>
  <c r="AY311" i="3"/>
  <c r="AY93" i="3"/>
  <c r="AY533" i="3"/>
  <c r="AY528" i="3"/>
  <c r="AY530" i="3"/>
  <c r="AY329" i="3"/>
  <c r="AY314" i="3"/>
  <c r="AY494" i="3"/>
  <c r="AY23" i="3"/>
  <c r="AY33" i="3"/>
  <c r="AY575" i="3"/>
  <c r="AY175" i="3"/>
  <c r="AY378" i="3"/>
  <c r="AY137" i="3"/>
  <c r="AY169" i="3"/>
  <c r="AY359" i="3"/>
  <c r="AY59" i="3"/>
  <c r="AY300" i="3"/>
  <c r="AY243" i="3"/>
  <c r="AY363" i="3"/>
  <c r="AY512" i="3"/>
  <c r="AY80" i="3"/>
  <c r="BN6" i="3"/>
  <c r="AY534" i="3"/>
  <c r="AY283" i="3"/>
  <c r="AY209" i="3"/>
  <c r="AY105" i="3"/>
  <c r="AY365" i="3"/>
  <c r="AY414" i="3"/>
  <c r="AY337" i="3"/>
  <c r="AY504" i="3"/>
  <c r="AY380" i="3"/>
  <c r="AY525" i="3"/>
  <c r="AY385" i="3"/>
  <c r="AY411" i="3"/>
  <c r="AY458" i="3"/>
  <c r="AY403" i="3"/>
  <c r="AY163" i="3"/>
  <c r="AY381" i="3"/>
  <c r="AY180" i="3"/>
  <c r="AY459" i="3"/>
  <c r="AY531" i="3"/>
  <c r="AY480" i="3"/>
  <c r="AY49" i="3"/>
  <c r="AY481" i="3"/>
  <c r="AY166" i="3"/>
  <c r="AY420" i="3"/>
  <c r="AY115" i="3"/>
  <c r="AY559" i="3"/>
  <c r="AY444" i="3"/>
  <c r="BJ6" i="3"/>
  <c r="AY22" i="3"/>
  <c r="AY120" i="3"/>
  <c r="AY468" i="3"/>
  <c r="AY30" i="3"/>
  <c r="AY454" i="3"/>
  <c r="AY578" i="3"/>
  <c r="AY292" i="3"/>
  <c r="AY390" i="3"/>
  <c r="AY24" i="3"/>
  <c r="AY465" i="3"/>
  <c r="AY144" i="3"/>
  <c r="AY167" i="3"/>
  <c r="AY584" i="3"/>
  <c r="AY497" i="3"/>
  <c r="AY36" i="3"/>
  <c r="AY353" i="3"/>
  <c r="AY97" i="3"/>
  <c r="AY297" i="3"/>
  <c r="AY132" i="3"/>
  <c r="AY535" i="3"/>
  <c r="AY114" i="3"/>
  <c r="AY143" i="3"/>
  <c r="AY234" i="3"/>
  <c r="AY470" i="3"/>
  <c r="AY508" i="3"/>
  <c r="AY66" i="3"/>
  <c r="AY170" i="3"/>
  <c r="AY139" i="3"/>
  <c r="AY42" i="3"/>
  <c r="AY79" i="3"/>
  <c r="AY211" i="3"/>
  <c r="AY86" i="3"/>
  <c r="AY495" i="3"/>
  <c r="AY57" i="3"/>
  <c r="AY569" i="3"/>
  <c r="AY281" i="3"/>
  <c r="AY474" i="3"/>
  <c r="AY85" i="3"/>
  <c r="AY331" i="3"/>
  <c r="AY462" i="3"/>
  <c r="AY178" i="3"/>
  <c r="AY513" i="3"/>
  <c r="AY140" i="3"/>
  <c r="AY104" i="3"/>
  <c r="AY106" i="3"/>
  <c r="AY149" i="3"/>
  <c r="AY47" i="3"/>
  <c r="AY587" i="3"/>
  <c r="AY556" i="3"/>
  <c r="AY585" i="3"/>
  <c r="AY116" i="3"/>
  <c r="AY43" i="3"/>
  <c r="AY339" i="3"/>
  <c r="AY195" i="3"/>
  <c r="AY565" i="3"/>
  <c r="AY119" i="3"/>
  <c r="AY158" i="3"/>
  <c r="AY460" i="3"/>
  <c r="AY259" i="3"/>
  <c r="AY233" i="3"/>
  <c r="AY46" i="3"/>
  <c r="AY70" i="3"/>
  <c r="BF6" i="3"/>
  <c r="AY303" i="3"/>
  <c r="AY221" i="3"/>
  <c r="AY29" i="3"/>
  <c r="AY279" i="3"/>
  <c r="AY475" i="3"/>
  <c r="AY44" i="3"/>
  <c r="AY335" i="3"/>
  <c r="AY412" i="3"/>
  <c r="AY68" i="3"/>
  <c r="AY377" i="3"/>
  <c r="AY543" i="3"/>
  <c r="AY96" i="3"/>
  <c r="AY301" i="3"/>
  <c r="AY521" i="3"/>
  <c r="AY517" i="3"/>
  <c r="AY183" i="3"/>
  <c r="AY101" i="3"/>
  <c r="AY186" i="3"/>
  <c r="BM6" i="3"/>
  <c r="AY118" i="3"/>
  <c r="AY204" i="3"/>
  <c r="AY159" i="3"/>
  <c r="AY453" i="3"/>
  <c r="AY507" i="3"/>
  <c r="AY435" i="3"/>
  <c r="AY90" i="3"/>
  <c r="AY397" i="3"/>
  <c r="AY26" i="3"/>
  <c r="AY291" i="3"/>
  <c r="AY393" i="3"/>
  <c r="AY546" i="3"/>
  <c r="AY383" i="3"/>
  <c r="AY179" i="3"/>
  <c r="AY539" i="3"/>
  <c r="AY75" i="3"/>
  <c r="BC6" i="3"/>
  <c r="AY219" i="3"/>
  <c r="AY364" i="3"/>
  <c r="AY464" i="3"/>
  <c r="AY98" i="3"/>
  <c r="AY214" i="3"/>
  <c r="AY409" i="3"/>
  <c r="AY323" i="3"/>
  <c r="AY509" i="3"/>
  <c r="AY341" i="3"/>
  <c r="AY577" i="3"/>
  <c r="AY244" i="3"/>
  <c r="AY56" i="3"/>
  <c r="AY310" i="3"/>
  <c r="AY176" i="3"/>
  <c r="AY516" i="3"/>
  <c r="AY237" i="3"/>
  <c r="AY357" i="3"/>
  <c r="AY374" i="3"/>
  <c r="AY325" i="3"/>
  <c r="AY213" i="3"/>
  <c r="AY425" i="3"/>
  <c r="AY422" i="3"/>
  <c r="AY553" i="3"/>
  <c r="AY168" i="3"/>
  <c r="BG6" i="3"/>
  <c r="BA6" i="3"/>
  <c r="AY446" i="3"/>
  <c r="AY313" i="3"/>
  <c r="AY247" i="3"/>
  <c r="AY581" i="3"/>
  <c r="AY395" i="3"/>
  <c r="AY265" i="3"/>
  <c r="AY580" i="3"/>
  <c r="AY210" i="3"/>
  <c r="AY189" i="3"/>
  <c r="AY190" i="3"/>
  <c r="AY317" i="3"/>
  <c r="AY245" i="3"/>
  <c r="AY142" i="3"/>
  <c r="AY542" i="3"/>
  <c r="AY358" i="3"/>
  <c r="AY350" i="3"/>
  <c r="AY276" i="3"/>
  <c r="AY123" i="3"/>
  <c r="AY389" i="3"/>
  <c r="AY134" i="3"/>
  <c r="AY320" i="3"/>
  <c r="AY451" i="3"/>
  <c r="AY268" i="3"/>
  <c r="AY272" i="3"/>
  <c r="AY306" i="3"/>
  <c r="AY406" i="3"/>
  <c r="AY126" i="3"/>
  <c r="AY161" i="3"/>
  <c r="AY540" i="3"/>
  <c r="AY113" i="3"/>
  <c r="AY267" i="3"/>
  <c r="AY232" i="3"/>
  <c r="AY442" i="3"/>
  <c r="AY529" i="3"/>
  <c r="AY294" i="3"/>
  <c r="AY152" i="3"/>
  <c r="AY410" i="3"/>
  <c r="AY173" i="3"/>
  <c r="AY302" i="3"/>
  <c r="AY295" i="3"/>
  <c r="AY549" i="3"/>
  <c r="AY188" i="3"/>
  <c r="AY496" i="3"/>
  <c r="AY269" i="3"/>
  <c r="AY41" i="3"/>
  <c r="AY160" i="3"/>
  <c r="BH6" i="3"/>
  <c r="AY203" i="3"/>
  <c r="AY305" i="3"/>
  <c r="AY345" i="3"/>
  <c r="AY184" i="3"/>
  <c r="BB6" i="3"/>
  <c r="AY157" i="3"/>
  <c r="AY332" i="3"/>
  <c r="AY45" i="3"/>
  <c r="AY382" i="3"/>
  <c r="AY405" i="3"/>
  <c r="AY266" i="3"/>
  <c r="AY20" i="3"/>
  <c r="AY40" i="3"/>
  <c r="BQ6" i="3"/>
  <c r="AY133" i="3"/>
  <c r="AY261" i="3"/>
  <c r="AY557" i="3"/>
  <c r="AY254" i="3"/>
  <c r="AY457" i="3"/>
  <c r="AY340" i="3"/>
  <c r="AY88" i="3"/>
  <c r="AY434" i="3"/>
  <c r="AY568" i="3"/>
  <c r="AY187" i="3"/>
  <c r="AY448" i="3"/>
  <c r="AY503" i="3"/>
  <c r="BI6" i="3"/>
  <c r="AY427" i="3"/>
  <c r="AY138" i="3"/>
  <c r="AY74" i="3"/>
  <c r="AY27" i="3"/>
  <c r="AY487" i="3"/>
  <c r="AY227" i="3"/>
  <c r="AY467" i="3"/>
  <c r="AY501" i="3"/>
  <c r="AY230" i="3"/>
  <c r="AY441" i="3"/>
  <c r="AY162" i="3"/>
  <c r="AY130" i="3"/>
  <c r="AY561" i="3"/>
  <c r="AY586" i="3"/>
  <c r="AY416" i="3"/>
  <c r="AY510" i="3"/>
  <c r="AY579" i="3"/>
  <c r="AY109" i="3"/>
  <c r="AY171" i="3"/>
  <c r="AY342" i="3"/>
  <c r="AY207" i="3"/>
  <c r="AY518" i="3"/>
  <c r="AY338" i="3"/>
  <c r="AY201" i="3"/>
  <c r="AY286" i="3"/>
  <c r="AY473" i="3"/>
  <c r="AY263" i="3"/>
  <c r="AY318" i="3"/>
  <c r="AY83" i="3"/>
  <c r="AY456" i="3"/>
  <c r="AY541" i="3"/>
  <c r="AY573" i="3"/>
  <c r="AY50" i="3"/>
  <c r="AY299" i="3"/>
  <c r="AY252" i="3"/>
  <c r="AY582" i="3"/>
  <c r="AY82" i="3"/>
  <c r="AY34" i="3"/>
  <c r="AY89" i="3"/>
  <c r="AY81" i="3"/>
  <c r="AY77" i="3"/>
  <c r="AY236" i="3"/>
  <c r="AY366" i="3"/>
  <c r="AY35" i="3"/>
  <c r="AY242" i="3"/>
  <c r="AY452" i="3"/>
  <c r="AY124" i="3"/>
  <c r="AY536" i="3"/>
  <c r="AY197" i="3"/>
  <c r="S7" i="1"/>
  <c r="C7" i="83"/>
  <c r="C5" i="83" s="1"/>
  <c r="C33" i="43"/>
  <c r="E65" i="39"/>
  <c r="F56" i="39"/>
  <c r="F65" i="39" s="1"/>
  <c r="B2" i="39" s="1"/>
  <c r="B3" i="39" s="1"/>
  <c r="C34" i="69"/>
  <c r="H16" i="1"/>
  <c r="M7" i="1"/>
  <c r="K16" i="1"/>
  <c r="B29" i="1" s="1"/>
  <c r="C8" i="68" s="1"/>
  <c r="G16" i="1"/>
  <c r="Q16" i="1"/>
  <c r="C17" i="67"/>
  <c r="C16" i="67"/>
  <c r="C17" i="15"/>
  <c r="C16" i="15"/>
  <c r="C14" i="67"/>
  <c r="K25" i="6" l="1"/>
  <c r="M25" i="6" s="1"/>
  <c r="I25" i="6" s="1"/>
  <c r="S25" i="6" s="1"/>
  <c r="K26" i="6"/>
  <c r="M26" i="6" s="1"/>
  <c r="I26" i="6" s="1"/>
  <c r="S26" i="6" s="1"/>
  <c r="K23" i="6"/>
  <c r="M23" i="6" s="1"/>
  <c r="I23" i="6" s="1"/>
  <c r="S23" i="6" s="1"/>
  <c r="E31" i="6"/>
  <c r="K19" i="6"/>
  <c r="K24" i="6"/>
  <c r="M24" i="6" s="1"/>
  <c r="I24" i="6" s="1"/>
  <c r="S24" i="6" s="1"/>
  <c r="E6" i="3"/>
  <c r="K22" i="6"/>
  <c r="M22" i="6" s="1"/>
  <c r="I22" i="6" s="1"/>
  <c r="S22" i="6" s="1"/>
  <c r="K21" i="6"/>
  <c r="M21" i="6" s="1"/>
  <c r="I21" i="6" s="1"/>
  <c r="C15" i="67"/>
  <c r="C18" i="67"/>
  <c r="C23" i="83"/>
  <c r="C22" i="83" s="1"/>
  <c r="C20" i="83"/>
  <c r="C25" i="83" s="1"/>
  <c r="T7" i="1"/>
  <c r="AR7" i="1"/>
  <c r="AQ7" i="1"/>
  <c r="C14" i="12"/>
  <c r="C16" i="12" s="1"/>
  <c r="D17" i="12"/>
  <c r="C17" i="12" s="1"/>
  <c r="S8" i="1"/>
  <c r="J18" i="15"/>
  <c r="J19" i="15"/>
  <c r="J5" i="15"/>
  <c r="F27" i="68"/>
  <c r="F27" i="69"/>
  <c r="F27" i="11"/>
  <c r="F28" i="12"/>
  <c r="C29" i="12" s="1"/>
  <c r="D28" i="12" s="1"/>
  <c r="H10" i="40"/>
  <c r="H10" i="39"/>
  <c r="F10" i="40"/>
  <c r="F10" i="39"/>
  <c r="J10" i="40"/>
  <c r="J10" i="39"/>
  <c r="E33" i="43"/>
  <c r="C30" i="43" s="1"/>
  <c r="C6" i="69"/>
  <c r="C34" i="43"/>
  <c r="E34" i="43" s="1"/>
  <c r="C31" i="43" s="1"/>
  <c r="D29" i="6"/>
  <c r="D12" i="6"/>
  <c r="E61" i="40"/>
  <c r="F61" i="40" s="1"/>
  <c r="B2" i="40" s="1"/>
  <c r="B3" i="40" s="1"/>
  <c r="D6" i="6"/>
  <c r="D9" i="6"/>
  <c r="H26" i="6"/>
  <c r="H25" i="6"/>
  <c r="D13" i="6"/>
  <c r="D5" i="6"/>
  <c r="D11" i="6"/>
  <c r="L19" i="9"/>
  <c r="D14" i="6"/>
  <c r="H20" i="6"/>
  <c r="D15" i="6"/>
  <c r="D10" i="6"/>
  <c r="D21" i="6"/>
  <c r="D20" i="6"/>
  <c r="D8" i="6"/>
  <c r="D19" i="6"/>
  <c r="M19" i="9"/>
  <c r="C118" i="9" s="1"/>
  <c r="C18" i="4"/>
  <c r="D26" i="6"/>
  <c r="D24" i="6"/>
  <c r="D28" i="6"/>
  <c r="D22" i="6"/>
  <c r="D23" i="6"/>
  <c r="D25" i="6"/>
  <c r="R25" i="6" s="1"/>
  <c r="J5" i="67"/>
  <c r="J19" i="67"/>
  <c r="J18" i="67"/>
  <c r="C10" i="15"/>
  <c r="C5" i="15" s="1"/>
  <c r="J35" i="87" s="1"/>
  <c r="C32" i="15"/>
  <c r="C33" i="15"/>
  <c r="M16" i="1"/>
  <c r="N16" i="1" s="1"/>
  <c r="E7" i="70"/>
  <c r="C35" i="69"/>
  <c r="C38" i="69"/>
  <c r="D10" i="68"/>
  <c r="D10" i="69"/>
  <c r="D20" i="12"/>
  <c r="C20" i="12" s="1"/>
  <c r="C18" i="12" s="1"/>
  <c r="D10" i="11"/>
  <c r="C10" i="11" s="1"/>
  <c r="S6" i="1"/>
  <c r="C48" i="67"/>
  <c r="C61" i="67"/>
  <c r="C48" i="15"/>
  <c r="C61" i="15"/>
  <c r="C20" i="11"/>
  <c r="C25" i="11" s="1"/>
  <c r="C24" i="11"/>
  <c r="C10" i="67"/>
  <c r="C5" i="67" s="1"/>
  <c r="C32" i="67"/>
  <c r="C33" i="67"/>
  <c r="E6" i="76"/>
  <c r="C17" i="87"/>
  <c r="C17" i="88"/>
  <c r="M21" i="15"/>
  <c r="F35" i="15"/>
  <c r="F35" i="67"/>
  <c r="C14" i="15"/>
  <c r="M21" i="67"/>
  <c r="R20" i="6" l="1"/>
  <c r="R7" i="1" s="1"/>
  <c r="K27" i="6"/>
  <c r="D30" i="6"/>
  <c r="H23" i="6"/>
  <c r="R23" i="6" s="1"/>
  <c r="M19" i="6"/>
  <c r="I19" i="6" s="1"/>
  <c r="H24" i="6"/>
  <c r="R24" i="6" s="1"/>
  <c r="S21" i="6"/>
  <c r="H21" i="6"/>
  <c r="R21" i="6" s="1"/>
  <c r="R8" i="1" s="1"/>
  <c r="H22" i="6"/>
  <c r="C19" i="67"/>
  <c r="C20" i="67" s="1"/>
  <c r="C28" i="11"/>
  <c r="C27" i="11" s="1"/>
  <c r="C22" i="11"/>
  <c r="R22" i="6"/>
  <c r="C18" i="15"/>
  <c r="C15" i="15"/>
  <c r="J20" i="15"/>
  <c r="J17" i="15" s="1"/>
  <c r="J20" i="67"/>
  <c r="J17" i="67" s="1"/>
  <c r="C34" i="15"/>
  <c r="C31" i="15" s="1"/>
  <c r="F63" i="15"/>
  <c r="C62" i="15" s="1"/>
  <c r="C34" i="67"/>
  <c r="C31" i="67" s="1"/>
  <c r="F63" i="67"/>
  <c r="C62" i="67" s="1"/>
  <c r="F50" i="68"/>
  <c r="F50" i="69"/>
  <c r="F50" i="11"/>
  <c r="F50" i="83"/>
  <c r="C51" i="83" s="1"/>
  <c r="C38" i="67"/>
  <c r="C66" i="67"/>
  <c r="C60" i="67"/>
  <c r="C10" i="68"/>
  <c r="D19" i="68"/>
  <c r="D37" i="68" s="1"/>
  <c r="C37" i="68" s="1"/>
  <c r="A10" i="51"/>
  <c r="B9" i="72" s="1"/>
  <c r="A7" i="51"/>
  <c r="B7" i="72" s="1"/>
  <c r="C4" i="52"/>
  <c r="B45" i="72" s="1"/>
  <c r="B2" i="43"/>
  <c r="AA10" i="40"/>
  <c r="S10" i="40"/>
  <c r="C29" i="11"/>
  <c r="D27" i="11" s="1"/>
  <c r="C47" i="11"/>
  <c r="D45" i="11" s="1"/>
  <c r="AC10" i="39"/>
  <c r="W10" i="39"/>
  <c r="AB10" i="39"/>
  <c r="U10" i="39"/>
  <c r="F45" i="69"/>
  <c r="C29" i="69"/>
  <c r="D27" i="69" s="1"/>
  <c r="C47" i="69"/>
  <c r="D45" i="69" s="1"/>
  <c r="C21" i="12"/>
  <c r="AR6" i="1"/>
  <c r="S16" i="1"/>
  <c r="E6" i="70"/>
  <c r="AQ6" i="1"/>
  <c r="T6" i="1"/>
  <c r="AC10" i="40"/>
  <c r="W10" i="40"/>
  <c r="AB10" i="40"/>
  <c r="U10" i="40"/>
  <c r="F45" i="68"/>
  <c r="C47" i="68"/>
  <c r="D45" i="68" s="1"/>
  <c r="C29" i="68"/>
  <c r="D27" i="68" s="1"/>
  <c r="E8" i="70"/>
  <c r="AR8" i="1"/>
  <c r="AQ8" i="1"/>
  <c r="T8" i="1"/>
  <c r="C28" i="83"/>
  <c r="C27" i="83" s="1"/>
  <c r="C31" i="83" s="1"/>
  <c r="C34" i="68"/>
  <c r="L16" i="1"/>
  <c r="C34" i="11"/>
  <c r="C38" i="15"/>
  <c r="J24" i="67"/>
  <c r="J26" i="67"/>
  <c r="J29" i="67" s="1"/>
  <c r="C60" i="15"/>
  <c r="C66" i="15"/>
  <c r="D27" i="6"/>
  <c r="D31" i="6" s="1"/>
  <c r="D19" i="69"/>
  <c r="D37" i="69" s="1"/>
  <c r="C37" i="69" s="1"/>
  <c r="C33" i="69" s="1"/>
  <c r="C10" i="69"/>
  <c r="C8" i="69" s="1"/>
  <c r="R26" i="6"/>
  <c r="D16" i="6"/>
  <c r="C7" i="69"/>
  <c r="AA10" i="39"/>
  <c r="S10" i="39"/>
  <c r="J26" i="15"/>
  <c r="J29" i="15" s="1"/>
  <c r="J24" i="15"/>
  <c r="C14" i="87"/>
  <c r="M21" i="88"/>
  <c r="B6" i="76"/>
  <c r="C14" i="88"/>
  <c r="F35" i="88"/>
  <c r="L50" i="87" l="1"/>
  <c r="C6" i="68"/>
  <c r="M27" i="6"/>
  <c r="C31" i="11"/>
  <c r="C59" i="15"/>
  <c r="C52" i="83"/>
  <c r="B2" i="83" s="1"/>
  <c r="C59" i="67"/>
  <c r="C19" i="15"/>
  <c r="C20" i="15" s="1"/>
  <c r="C26" i="15" s="1"/>
  <c r="C5" i="69"/>
  <c r="C23" i="69" s="1"/>
  <c r="C34" i="88"/>
  <c r="C31" i="88" s="1"/>
  <c r="F63" i="88"/>
  <c r="C62" i="88" s="1"/>
  <c r="C59" i="88" s="1"/>
  <c r="J20" i="88"/>
  <c r="J17" i="88" s="1"/>
  <c r="C23" i="67"/>
  <c r="C26" i="67"/>
  <c r="C18" i="87"/>
  <c r="C15" i="87"/>
  <c r="C15" i="88"/>
  <c r="C18" i="88"/>
  <c r="C39" i="69"/>
  <c r="C43" i="69" s="1"/>
  <c r="C42" i="69"/>
  <c r="I6" i="6"/>
  <c r="G3" i="86" s="1"/>
  <c r="I5" i="6"/>
  <c r="C11" i="40" s="1"/>
  <c r="E2" i="70"/>
  <c r="B3" i="43"/>
  <c r="C38" i="68"/>
  <c r="C35" i="68"/>
  <c r="T16" i="1"/>
  <c r="C38" i="11"/>
  <c r="C35" i="11"/>
  <c r="C22" i="12"/>
  <c r="C27" i="12" s="1"/>
  <c r="C25" i="12" s="1"/>
  <c r="I27" i="6"/>
  <c r="S19" i="6"/>
  <c r="S27" i="6" s="1"/>
  <c r="H19" i="6"/>
  <c r="C57" i="83"/>
  <c r="C19" i="85"/>
  <c r="B3" i="83"/>
  <c r="C20" i="69" l="1"/>
  <c r="C25" i="69" s="1"/>
  <c r="C22" i="69" s="1"/>
  <c r="C21" i="85"/>
  <c r="C102" i="85"/>
  <c r="D22" i="85"/>
  <c r="G19" i="85"/>
  <c r="G21" i="85" s="1"/>
  <c r="C19" i="87"/>
  <c r="C20" i="87" s="1"/>
  <c r="C23" i="87" s="1"/>
  <c r="C29" i="67"/>
  <c r="C36" i="67" s="1"/>
  <c r="C33" i="68"/>
  <c r="C91" i="9" s="1"/>
  <c r="C41" i="69"/>
  <c r="C30" i="12"/>
  <c r="C28" i="12" s="1"/>
  <c r="C32" i="12" s="1"/>
  <c r="B2" i="12" s="1"/>
  <c r="B3" i="12" s="1"/>
  <c r="C46" i="69"/>
  <c r="C45" i="69" s="1"/>
  <c r="C33" i="11"/>
  <c r="C42" i="11" s="1"/>
  <c r="C19" i="88"/>
  <c r="C20" i="88" s="1"/>
  <c r="C26" i="88" s="1"/>
  <c r="C56" i="83"/>
  <c r="H27" i="6"/>
  <c r="R19" i="6"/>
  <c r="C23" i="15"/>
  <c r="C29" i="15" s="1"/>
  <c r="F11" i="40"/>
  <c r="H11" i="40"/>
  <c r="J11" i="40"/>
  <c r="J26" i="86"/>
  <c r="G26" i="86"/>
  <c r="Z7" i="86"/>
  <c r="F26" i="86"/>
  <c r="H26" i="86"/>
  <c r="E26" i="86"/>
  <c r="B116" i="86"/>
  <c r="D34" i="85"/>
  <c r="C20" i="85"/>
  <c r="D35" i="85"/>
  <c r="C28" i="69" l="1"/>
  <c r="C27" i="69" s="1"/>
  <c r="C31" i="69" s="1"/>
  <c r="C39" i="68"/>
  <c r="C43" i="68" s="1"/>
  <c r="C42" i="68"/>
  <c r="G20" i="85"/>
  <c r="C103" i="85"/>
  <c r="J14" i="67"/>
  <c r="J22" i="67" s="1"/>
  <c r="C13" i="67"/>
  <c r="C56" i="67" s="1"/>
  <c r="C65" i="67" s="1"/>
  <c r="C57" i="67"/>
  <c r="C64" i="67" s="1"/>
  <c r="Q49" i="67"/>
  <c r="J59" i="67"/>
  <c r="J60" i="67" s="1"/>
  <c r="C39" i="11"/>
  <c r="C43" i="11" s="1"/>
  <c r="C41" i="11" s="1"/>
  <c r="C49" i="69"/>
  <c r="C51" i="69" s="1"/>
  <c r="Q49" i="15"/>
  <c r="C36" i="15"/>
  <c r="J59" i="15"/>
  <c r="J60" i="15" s="1"/>
  <c r="C57" i="15"/>
  <c r="C64" i="15" s="1"/>
  <c r="J14" i="15"/>
  <c r="C13" i="15"/>
  <c r="B118" i="86"/>
  <c r="B122" i="86"/>
  <c r="C122" i="86" s="1"/>
  <c r="B120" i="86"/>
  <c r="C120" i="86" s="1"/>
  <c r="B119" i="86"/>
  <c r="C119" i="86" s="1"/>
  <c r="D122" i="86"/>
  <c r="E122" i="86" s="1"/>
  <c r="F122" i="86" s="1"/>
  <c r="G122" i="86" s="1"/>
  <c r="H122" i="86" s="1"/>
  <c r="I122" i="86"/>
  <c r="J122" i="86" s="1"/>
  <c r="K122" i="86" s="1"/>
  <c r="L122" i="86" s="1"/>
  <c r="M122" i="86" s="1"/>
  <c r="D118" i="86"/>
  <c r="E118" i="86" s="1"/>
  <c r="F118" i="86" s="1"/>
  <c r="G118" i="86" s="1"/>
  <c r="H118" i="86" s="1"/>
  <c r="D121" i="86"/>
  <c r="E121" i="86" s="1"/>
  <c r="F121" i="86" s="1"/>
  <c r="I119" i="86"/>
  <c r="J119" i="86" s="1"/>
  <c r="K119" i="86" s="1"/>
  <c r="L119" i="86" s="1"/>
  <c r="M119" i="86" s="1"/>
  <c r="D119" i="86"/>
  <c r="E119" i="86" s="1"/>
  <c r="F119" i="86" s="1"/>
  <c r="G119" i="86" s="1"/>
  <c r="H119" i="86" s="1"/>
  <c r="D120" i="86"/>
  <c r="E120" i="86" s="1"/>
  <c r="F120" i="86" s="1"/>
  <c r="G120" i="86" s="1"/>
  <c r="H120" i="86" s="1"/>
  <c r="I120" i="86"/>
  <c r="J120" i="86" s="1"/>
  <c r="K120" i="86" s="1"/>
  <c r="L120" i="86" s="1"/>
  <c r="M120" i="86" s="1"/>
  <c r="G121" i="86"/>
  <c r="H121" i="86" s="1"/>
  <c r="I121" i="86"/>
  <c r="J121" i="86" s="1"/>
  <c r="K121" i="86" s="1"/>
  <c r="L121" i="86" s="1"/>
  <c r="M121" i="86" s="1"/>
  <c r="B121" i="86"/>
  <c r="C121" i="86" s="1"/>
  <c r="I118" i="86"/>
  <c r="J118" i="86" s="1"/>
  <c r="K118" i="86" s="1"/>
  <c r="L118" i="86" s="1"/>
  <c r="M118" i="86" s="1"/>
  <c r="D26" i="86"/>
  <c r="C25" i="86" s="1"/>
  <c r="W11" i="40"/>
  <c r="AC11" i="40"/>
  <c r="R6" i="1"/>
  <c r="R27" i="6"/>
  <c r="AB11" i="40"/>
  <c r="U11" i="40"/>
  <c r="S11" i="40"/>
  <c r="AA11" i="40"/>
  <c r="C94" i="9"/>
  <c r="C92" i="9"/>
  <c r="C23" i="88"/>
  <c r="C29" i="88" s="1"/>
  <c r="C26" i="87"/>
  <c r="C29" i="87" s="1"/>
  <c r="M21" i="87"/>
  <c r="F35" i="87"/>
  <c r="C46" i="68" l="1"/>
  <c r="C45" i="68" s="1"/>
  <c r="C46" i="11"/>
  <c r="C45" i="11" s="1"/>
  <c r="C41" i="68"/>
  <c r="C52" i="69"/>
  <c r="B2" i="69" s="1"/>
  <c r="B3" i="69" s="1"/>
  <c r="J13" i="67"/>
  <c r="J23" i="67" s="1"/>
  <c r="J16" i="67" s="1"/>
  <c r="J25" i="67" s="1"/>
  <c r="C58" i="67"/>
  <c r="C67" i="67" s="1"/>
  <c r="C68" i="67" s="1"/>
  <c r="C71" i="67" s="1"/>
  <c r="C37" i="67"/>
  <c r="C30" i="67" s="1"/>
  <c r="C39" i="67" s="1"/>
  <c r="C40" i="67" s="1"/>
  <c r="D27" i="85"/>
  <c r="C32" i="85"/>
  <c r="L46" i="67"/>
  <c r="Q48" i="67"/>
  <c r="C75" i="67"/>
  <c r="Q70" i="67"/>
  <c r="C49" i="11"/>
  <c r="C51" i="11" s="1"/>
  <c r="C52" i="11" s="1"/>
  <c r="B2" i="11" s="1"/>
  <c r="B3" i="11" s="1"/>
  <c r="J20" i="87"/>
  <c r="J17" i="87" s="1"/>
  <c r="C34" i="87"/>
  <c r="C31" i="87" s="1"/>
  <c r="F63" i="87"/>
  <c r="C62" i="87" s="1"/>
  <c r="C59" i="87" s="1"/>
  <c r="J59" i="88"/>
  <c r="J60" i="88" s="1"/>
  <c r="Q49" i="88"/>
  <c r="C36" i="88"/>
  <c r="J14" i="88"/>
  <c r="C13" i="88"/>
  <c r="C57" i="88"/>
  <c r="C64" i="88" s="1"/>
  <c r="C36" i="87"/>
  <c r="J59" i="87"/>
  <c r="J60" i="87" s="1"/>
  <c r="C13" i="87"/>
  <c r="Q49" i="87"/>
  <c r="J14" i="87"/>
  <c r="C57" i="87"/>
  <c r="C64" i="87" s="1"/>
  <c r="Q48" i="15"/>
  <c r="L46" i="15"/>
  <c r="C33" i="86"/>
  <c r="C118" i="86"/>
  <c r="D116" i="86" s="1"/>
  <c r="Q70" i="15"/>
  <c r="C37" i="15"/>
  <c r="C30" i="15" s="1"/>
  <c r="C39" i="15" s="1"/>
  <c r="I39" i="15" s="1"/>
  <c r="C75" i="15"/>
  <c r="C56" i="15"/>
  <c r="C65" i="15" s="1"/>
  <c r="C58" i="15" s="1"/>
  <c r="C67" i="15" s="1"/>
  <c r="C68" i="15" s="1"/>
  <c r="J22" i="15"/>
  <c r="J13" i="15"/>
  <c r="J23" i="15" s="1"/>
  <c r="R16" i="1"/>
  <c r="U25" i="1" s="1"/>
  <c r="W25" i="1" s="1"/>
  <c r="W26" i="1" s="1"/>
  <c r="C49" i="68" l="1"/>
  <c r="C51" i="68" s="1"/>
  <c r="C45" i="67"/>
  <c r="C46" i="67" s="1"/>
  <c r="C57" i="69"/>
  <c r="C56" i="69" s="1"/>
  <c r="C80" i="67"/>
  <c r="C79" i="67" s="1"/>
  <c r="Q65" i="67"/>
  <c r="Q75" i="67" s="1"/>
  <c r="I118" i="85"/>
  <c r="C35" i="85"/>
  <c r="Q69" i="67"/>
  <c r="Q68" i="67" s="1"/>
  <c r="D2" i="67"/>
  <c r="B3" i="67" s="1"/>
  <c r="C83" i="67"/>
  <c r="C82" i="67" s="1"/>
  <c r="C43" i="67"/>
  <c r="Q47" i="67"/>
  <c r="Q53" i="67" s="1"/>
  <c r="Q56" i="67"/>
  <c r="Q62" i="67" s="1"/>
  <c r="C80" i="15"/>
  <c r="C79" i="15" s="1"/>
  <c r="C56" i="11"/>
  <c r="C57" i="11" s="1"/>
  <c r="Q70" i="87"/>
  <c r="C37" i="87"/>
  <c r="C30" i="87" s="1"/>
  <c r="C39" i="87" s="1"/>
  <c r="I39" i="87" s="1"/>
  <c r="C75" i="87"/>
  <c r="C56" i="87"/>
  <c r="C65" i="87" s="1"/>
  <c r="C58" i="87" s="1"/>
  <c r="C67" i="87" s="1"/>
  <c r="C68" i="87" s="1"/>
  <c r="Q48" i="87"/>
  <c r="J16" i="15"/>
  <c r="J25" i="15" s="1"/>
  <c r="E33" i="86"/>
  <c r="C30" i="86" s="1"/>
  <c r="C34" i="86"/>
  <c r="E34" i="86" s="1"/>
  <c r="C31" i="86" s="1"/>
  <c r="J13" i="87"/>
  <c r="J23" i="87" s="1"/>
  <c r="J22" i="87"/>
  <c r="C37" i="88"/>
  <c r="C30" i="88" s="1"/>
  <c r="C39" i="88" s="1"/>
  <c r="I39" i="88" s="1"/>
  <c r="C75" i="88"/>
  <c r="Q70" i="88"/>
  <c r="C56" i="88"/>
  <c r="C65" i="88" s="1"/>
  <c r="C58" i="88" s="1"/>
  <c r="C67" i="88" s="1"/>
  <c r="C68" i="88" s="1"/>
  <c r="Q48" i="88"/>
  <c r="L46" i="88"/>
  <c r="C40" i="15"/>
  <c r="Q69" i="15"/>
  <c r="Q68" i="15" s="1"/>
  <c r="C71" i="15"/>
  <c r="J22" i="88"/>
  <c r="J13" i="88"/>
  <c r="J23" i="88" s="1"/>
  <c r="L51" i="15"/>
  <c r="L51" i="67"/>
  <c r="E7" i="76"/>
  <c r="Q67" i="15" l="1"/>
  <c r="B2" i="67"/>
  <c r="Q67" i="67"/>
  <c r="G118" i="85"/>
  <c r="F118" i="85" s="1"/>
  <c r="F119" i="85" s="1"/>
  <c r="C34" i="85"/>
  <c r="H118" i="85"/>
  <c r="H102" i="85"/>
  <c r="C105" i="85"/>
  <c r="J16" i="87"/>
  <c r="J25" i="87" s="1"/>
  <c r="E2" i="76"/>
  <c r="C71" i="87"/>
  <c r="C40" i="88"/>
  <c r="Q69" i="88"/>
  <c r="Q68" i="88" s="1"/>
  <c r="C71" i="88"/>
  <c r="C43" i="15"/>
  <c r="Q65" i="15"/>
  <c r="Q75" i="15" s="1"/>
  <c r="B2" i="15"/>
  <c r="Q56" i="15"/>
  <c r="Q62" i="15" s="1"/>
  <c r="Q47" i="15"/>
  <c r="Q53" i="15" s="1"/>
  <c r="C83" i="15"/>
  <c r="C82" i="15" s="1"/>
  <c r="B2" i="86"/>
  <c r="C80" i="87"/>
  <c r="C79" i="87" s="1"/>
  <c r="C40" i="87"/>
  <c r="Q69" i="87"/>
  <c r="Q68" i="87" s="1"/>
  <c r="J16" i="88"/>
  <c r="J25" i="88" s="1"/>
  <c r="C46" i="15"/>
  <c r="C80" i="88"/>
  <c r="C79" i="88" s="1"/>
  <c r="L51" i="88"/>
  <c r="L51" i="87"/>
  <c r="B7" i="76"/>
  <c r="AO7" i="1"/>
  <c r="L57" i="87" l="1"/>
  <c r="L60" i="87" s="1"/>
  <c r="Q66" i="87" s="1"/>
  <c r="Q67" i="87"/>
  <c r="Q67" i="88"/>
  <c r="E118" i="85"/>
  <c r="D118" i="85" s="1"/>
  <c r="D119" i="85" s="1"/>
  <c r="H119" i="85"/>
  <c r="C104" i="85"/>
  <c r="H101" i="85"/>
  <c r="B7" i="70"/>
  <c r="B2" i="76"/>
  <c r="B3" i="76" s="1"/>
  <c r="B3" i="15"/>
  <c r="B3" i="86"/>
  <c r="B2" i="88"/>
  <c r="C43" i="88"/>
  <c r="Q47" i="88"/>
  <c r="Q53" i="88" s="1"/>
  <c r="Q65" i="88"/>
  <c r="Q75" i="88" s="1"/>
  <c r="Q56" i="88"/>
  <c r="Q62" i="88" s="1"/>
  <c r="C83" i="88"/>
  <c r="C82" i="88" s="1"/>
  <c r="C43" i="87"/>
  <c r="Q65" i="87"/>
  <c r="Q47" i="87"/>
  <c r="Q53" i="87" s="1"/>
  <c r="Q56" i="87"/>
  <c r="C83" i="87"/>
  <c r="C82" i="87" s="1"/>
  <c r="C46" i="88"/>
  <c r="C46" i="87"/>
  <c r="AO8" i="1"/>
  <c r="L46" i="87" l="1"/>
  <c r="B2" i="87" s="1"/>
  <c r="B3" i="87" s="1"/>
  <c r="Q57" i="87"/>
  <c r="Q62" i="87" s="1"/>
  <c r="Q75" i="87"/>
  <c r="M48" i="85"/>
  <c r="H107" i="85"/>
  <c r="D45" i="85"/>
  <c r="B8" i="70"/>
  <c r="B3" i="88"/>
  <c r="C7" i="68"/>
  <c r="C5" i="68" s="1"/>
  <c r="AO6" i="1"/>
  <c r="B6" i="70" l="1"/>
  <c r="M49" i="85"/>
  <c r="D122" i="85"/>
  <c r="D123" i="85" s="1"/>
  <c r="H108" i="85"/>
  <c r="D52" i="85"/>
  <c r="C78" i="85"/>
  <c r="C73" i="85" s="1"/>
  <c r="C72" i="85"/>
  <c r="C93" i="85"/>
  <c r="C86" i="85" s="1"/>
  <c r="D53" i="85"/>
  <c r="C85" i="85"/>
  <c r="D55" i="85"/>
  <c r="M53" i="85" s="1"/>
  <c r="C64" i="85"/>
  <c r="C63" i="85" s="1"/>
  <c r="C67" i="85" s="1"/>
  <c r="B2" i="70"/>
  <c r="C20" i="68"/>
  <c r="C25" i="68" s="1"/>
  <c r="C23" i="68"/>
  <c r="D19" i="9"/>
  <c r="C79" i="85" l="1"/>
  <c r="C68" i="85"/>
  <c r="D54" i="85" s="1"/>
  <c r="D59" i="85"/>
  <c r="M55" i="85" s="1"/>
  <c r="C95" i="85"/>
  <c r="L67" i="85"/>
  <c r="M67" i="85" s="1"/>
  <c r="L64" i="85"/>
  <c r="M64" i="85" s="1"/>
  <c r="L66" i="85"/>
  <c r="M66" i="85" s="1"/>
  <c r="L65" i="85"/>
  <c r="M65" i="85" s="1"/>
  <c r="L68" i="85"/>
  <c r="M68" i="85" s="1"/>
  <c r="L63" i="85"/>
  <c r="M63" i="85" s="1"/>
  <c r="M69" i="85" s="1"/>
  <c r="N69" i="85" s="1"/>
  <c r="D21" i="9"/>
  <c r="D102" i="9"/>
  <c r="B3" i="70"/>
  <c r="C22" i="68"/>
  <c r="C28" i="68"/>
  <c r="C27" i="68" s="1"/>
  <c r="D20" i="9"/>
  <c r="C81" i="85" l="1"/>
  <c r="C80" i="85"/>
  <c r="E80" i="85" s="1"/>
  <c r="E81" i="85" s="1"/>
  <c r="C96" i="85"/>
  <c r="E96" i="85" s="1"/>
  <c r="E97" i="85" s="1"/>
  <c r="C97" i="85"/>
  <c r="D58" i="85" s="1"/>
  <c r="D56" i="85" s="1"/>
  <c r="M54" i="85" s="1"/>
  <c r="N57" i="85" s="1"/>
  <c r="D103" i="9"/>
  <c r="C31" i="68"/>
  <c r="C52" i="68" s="1"/>
  <c r="N59" i="85" l="1"/>
  <c r="N58" i="85"/>
  <c r="P57" i="85"/>
  <c r="B2" i="68"/>
  <c r="C57" i="68"/>
  <c r="C56" i="68" s="1"/>
  <c r="C19" i="9"/>
  <c r="N60" i="85" l="1"/>
  <c r="N61" i="85"/>
  <c r="H112" i="85" s="1"/>
  <c r="H111" i="85"/>
  <c r="D126" i="85" s="1"/>
  <c r="D127" i="85" s="1"/>
  <c r="C102" i="9"/>
  <c r="C21" i="9"/>
  <c r="D22" i="9"/>
  <c r="G19" i="9"/>
  <c r="B3" i="68"/>
  <c r="D34" i="9"/>
  <c r="C20" i="9"/>
  <c r="D35" i="9"/>
  <c r="G20" i="9" l="1"/>
  <c r="D27" i="9" s="1"/>
  <c r="C103" i="9"/>
  <c r="G21" i="9"/>
  <c r="C32" i="9"/>
  <c r="C35" i="9" l="1"/>
  <c r="F118" i="9" s="1"/>
  <c r="H118" i="9"/>
  <c r="C34" i="9" l="1"/>
  <c r="D118" i="9" s="1"/>
  <c r="D119" i="9" s="1"/>
  <c r="D5" i="52" s="1"/>
  <c r="B49" i="72" s="1"/>
  <c r="H4" i="52"/>
  <c r="C104" i="9"/>
  <c r="H119" i="9"/>
  <c r="H5" i="52" s="1"/>
  <c r="H101" i="9"/>
  <c r="I118" i="9"/>
  <c r="F119" i="9"/>
  <c r="F5" i="52" s="1"/>
  <c r="B53" i="72" s="1"/>
  <c r="F4" i="52"/>
  <c r="B51" i="72" s="1"/>
  <c r="G118" i="9"/>
  <c r="G4" i="52" s="1"/>
  <c r="B52" i="72" s="1"/>
  <c r="D4" i="52" l="1"/>
  <c r="B47" i="72" s="1"/>
  <c r="C105" i="9"/>
  <c r="I4" i="52"/>
  <c r="E118" i="9"/>
  <c r="E4" i="52" s="1"/>
  <c r="B48" i="72" s="1"/>
  <c r="H102" i="9"/>
  <c r="D7" i="53" s="1"/>
  <c r="B21" i="72" s="1"/>
  <c r="M48" i="9"/>
  <c r="D5" i="53"/>
  <c r="D45" i="9"/>
  <c r="H107" i="9"/>
  <c r="D13" i="53" l="1"/>
  <c r="M49" i="9"/>
  <c r="Q54" i="9" s="1"/>
  <c r="H108" i="9"/>
  <c r="D15" i="53" s="1"/>
  <c r="B31" i="72" s="1"/>
  <c r="D14" i="74"/>
  <c r="D122" i="9"/>
  <c r="D52" i="9"/>
  <c r="C93" i="9"/>
  <c r="C86" i="9" s="1"/>
  <c r="D55" i="9"/>
  <c r="M53" i="9" s="1"/>
  <c r="C78" i="9"/>
  <c r="C73" i="9" s="1"/>
  <c r="C72" i="9"/>
  <c r="D53" i="9"/>
  <c r="D48" i="9" s="1"/>
  <c r="M52" i="9" s="1"/>
  <c r="C85" i="9"/>
  <c r="C64" i="9"/>
  <c r="C63" i="9" s="1"/>
  <c r="C67" i="9" s="1"/>
  <c r="C68" i="9" s="1"/>
  <c r="D54" i="9" s="1"/>
  <c r="D6" i="53"/>
  <c r="B22" i="72" s="1"/>
  <c r="B20" i="72"/>
  <c r="C79" i="9" l="1"/>
  <c r="C95" i="9"/>
  <c r="C96" i="9" s="1"/>
  <c r="E96" i="9" s="1"/>
  <c r="E97" i="9" s="1"/>
  <c r="F14" i="74"/>
  <c r="E14" i="74"/>
  <c r="B5" i="74"/>
  <c r="G14" i="74"/>
  <c r="B6" i="74" s="1"/>
  <c r="L66" i="9"/>
  <c r="M66" i="9" s="1"/>
  <c r="L67" i="9"/>
  <c r="M67" i="9" s="1"/>
  <c r="L68" i="9"/>
  <c r="M68" i="9" s="1"/>
  <c r="L65" i="9"/>
  <c r="M65" i="9" s="1"/>
  <c r="L63" i="9"/>
  <c r="M63" i="9" s="1"/>
  <c r="L64" i="9"/>
  <c r="M64" i="9" s="1"/>
  <c r="C80" i="9"/>
  <c r="E80" i="9" s="1"/>
  <c r="E81" i="9" s="1"/>
  <c r="D8" i="52"/>
  <c r="D123" i="9"/>
  <c r="D9" i="52" s="1"/>
  <c r="D14" i="53"/>
  <c r="B32" i="72" s="1"/>
  <c r="B30" i="72"/>
  <c r="C97" i="9" l="1"/>
  <c r="D58" i="9" s="1"/>
  <c r="D56" i="9" s="1"/>
  <c r="M54" i="9" s="1"/>
  <c r="N57" i="9" s="1"/>
  <c r="N59" i="9" s="1"/>
  <c r="M69" i="9"/>
  <c r="N69" i="9" s="1"/>
  <c r="C81" i="9"/>
  <c r="D6" i="74"/>
  <c r="C6" i="74"/>
  <c r="D5" i="74"/>
  <c r="C5" i="74"/>
  <c r="P57" i="9" l="1"/>
  <c r="N58" i="9"/>
  <c r="N60" i="9"/>
  <c r="H111" i="9"/>
  <c r="N61" i="9"/>
  <c r="H112" i="9" s="1"/>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<sst xmlns="http://schemas.openxmlformats.org/spreadsheetml/2006/main" count="10481" uniqueCount="3503">
  <si>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</si>
  <si>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</si>
  <si>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</si>
  <si>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</si>
  <si>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</si>
  <si>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</si>
  <si>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</si>
  <si>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</si>
  <si>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</si>
  <si>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</si>
  <si>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</si>
  <si>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</si>
  <si>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</si>
  <si>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</si>
  <si>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</si>
  <si>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</si>
  <si>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</si>
  <si>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</si>
  <si>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</si>
  <si>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</si>
  <si>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</si>
  <si>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</si>
  <si>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</si>
  <si>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</si>
  <si>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</si>
  <si>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</si>
  <si>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</si>
  <si>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</si>
  <si>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</si>
  <si>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</si>
  <si>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</si>
  <si>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</si>
  <si>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</si>
  <si>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</si>
  <si>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</si>
  <si>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</si>
  <si>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</si>
  <si>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</si>
  <si>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</si>
  <si>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</si>
  <si>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</si>
  <si>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</si>
  <si>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</si>
  <si>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</si>
  <si>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</si>
  <si>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</si>
  <si>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</si>
  <si>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</si>
  <si>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</si>
  <si>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</si>
  <si>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</si>
  <si>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</si>
  <si>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</si>
  <si>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</si>
  <si>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</si>
  <si>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</si>
  <si>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</si>
  <si>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</si>
  <si>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</si>
  <si>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</si>
  <si>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</si>
  <si>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</si>
  <si>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</si>
  <si>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</si>
  <si>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</si>
  <si>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</si>
  <si>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</si>
  <si>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</si>
  <si>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</si>
  <si>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</si>
  <si>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</si>
  <si>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</si>
  <si>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</si>
  <si>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</si>
  <si>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</si>
  <si>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</si>
  <si>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</si>
  <si>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</si>
  <si>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</si>
  <si>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</si>
  <si>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</si>
  <si>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</si>
  <si>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</si>
  <si>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</si>
  <si>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</si>
  <si>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</si>
  <si>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</si>
  <si>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</si>
  <si>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</si>
  <si>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</si>
  <si>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</si>
  <si>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</si>
  <si>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</si>
  <si>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</si>
  <si>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</si>
  <si>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</si>
  <si>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</si>
  <si>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</si>
  <si>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</si>
  <si>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</si>
  <si>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</si>
  <si>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</si>
  <si>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</si>
  <si>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</si>
  <si>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</si>
  <si>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</si>
  <si>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</si>
  <si>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</si>
  <si>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</si>
  <si>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</si>
  <si>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</si>
  <si>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</si>
  <si>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</si>
  <si>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</si>
  <si>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</si>
  <si>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</si>
  <si>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</si>
  <si>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</si>
  <si>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</si>
  <si>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</si>
  <si>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</si>
  <si>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</si>
  <si>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</si>
  <si>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</si>
  <si>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</si>
  <si>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</si>
  <si>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</si>
  <si>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</si>
  <si>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</si>
  <si>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</si>
  <si>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</si>
  <si>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</si>
  <si>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</si>
  <si>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</si>
  <si>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</si>
  <si>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</si>
  <si>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</si>
  <si>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</si>
  <si>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</si>
  <si>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</si>
  <si>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</si>
  <si>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</si>
  <si>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</si>
  <si>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</si>
  <si>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</si>
  <si>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</si>
  <si>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</si>
  <si>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</si>
  <si>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</si>
  <si>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</si>
  <si>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</si>
  <si>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</si>
  <si>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</si>
  <si>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</si>
  <si>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</si>
  <si>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</si>
  <si>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</si>
  <si>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</si>
  <si>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</si>
  <si>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</si>
  <si>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</si>
  <si>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</si>
  <si>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</si>
  <si>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</si>
  <si>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</si>
  <si>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</si>
  <si>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</si>
  <si>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</si>
  <si>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</si>
  <si>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</si>
  <si>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</si>
  <si>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</si>
  <si>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</si>
  <si>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</si>
  <si>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</si>
  <si>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</si>
  <si>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</si>
  <si>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</si>
  <si>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</si>
  <si>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</si>
  <si>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</si>
  <si>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</si>
  <si>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</si>
  <si>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</si>
  <si>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</si>
  <si>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</si>
  <si>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</si>
  <si>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</si>
  <si>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</si>
  <si>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</si>
  <si>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</si>
  <si>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</si>
  <si>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</si>
  <si>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</si>
  <si>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</si>
  <si>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</si>
  <si>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</si>
  <si>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</si>
  <si>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</si>
  <si>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</si>
  <si>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</si>
  <si>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</si>
  <si>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</si>
  <si>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</si>
  <si>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</si>
  <si>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</si>
  <si>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</si>
  <si>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</si>
  <si>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</si>
  <si>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</si>
  <si>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</si>
  <si>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</si>
  <si>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</si>
  <si>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</si>
  <si>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</si>
  <si>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</si>
  <si>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</si>
  <si>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</si>
  <si>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</si>
  <si>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</si>
  <si>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</si>
  <si>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</si>
  <si>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</si>
  <si>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</si>
  <si>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</si>
  <si>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</si>
  <si>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</si>
  <si>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</si>
  <si>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</si>
  <si>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</si>
  <si>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</si>
  <si>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</si>
  <si>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</si>
  <si>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</si>
  <si>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</si>
  <si>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</si>
  <si>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</si>
  <si>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</si>
  <si>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</si>
  <si>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</si>
  <si>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</si>
  <si>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</si>
  <si>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</si>
  <si>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</si>
  <si>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</si>
  <si>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</si>
  <si>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</si>
  <si>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</si>
  <si>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</si>
  <si>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</si>
  <si>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</si>
  <si>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</si>
  <si>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</si>
  <si>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</si>
  <si>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</si>
  <si>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</si>
  <si>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</si>
  <si>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</si>
  <si>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</si>
  <si>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</si>
  <si>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</si>
  <si>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</si>
  <si>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</si>
  <si>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</si>
  <si>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</si>
  <si>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</si>
  <si>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</si>
  <si>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</si>
  <si>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</si>
  <si>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</si>
  <si>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</si>
  <si>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</si>
  <si>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</si>
  <si>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</si>
  <si>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</si>
  <si>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</si>
  <si>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</si>
  <si>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</si>
  <si>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</si>
  <si>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</si>
  <si>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</si>
  <si>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</si>
  <si>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</si>
  <si>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</si>
  <si>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</si>
  <si>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</si>
  <si>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</si>
  <si>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</si>
  <si>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</si>
  <si>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</si>
  <si>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</si>
  <si>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</si>
  <si>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</si>
  <si>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</si>
  <si>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</si>
  <si>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</si>
  <si>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</si>
  <si>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</si>
  <si>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</si>
  <si>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</si>
  <si>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</si>
  <si>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</si>
  <si>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</si>
  <si>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</si>
  <si>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</si>
  <si>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</si>
  <si>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</si>
  <si>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</si>
  <si>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</si>
  <si>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</si>
  <si>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</si>
  <si>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</si>
  <si>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</si>
  <si>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</si>
  <si>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</si>
  <si>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</si>
  <si>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</si>
  <si>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</si>
  <si>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</si>
  <si>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</si>
  <si>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</si>
  <si>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</si>
  <si>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</si>
  <si>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</si>
  <si>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</si>
  <si>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</si>
  <si>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</si>
  <si>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</si>
  <si>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</si>
  <si>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</si>
  <si>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</si>
  <si>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</si>
  <si>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</si>
  <si>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</si>
  <si>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</si>
  <si>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</si>
  <si>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</si>
  <si>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</si>
  <si>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</si>
  <si>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</si>
  <si>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</si>
  <si>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</si>
  <si>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</si>
  <si>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</si>
  <si>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</si>
  <si>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</si>
  <si>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</si>
  <si>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</si>
  <si>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</si>
  <si>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</si>
  <si>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</si>
  <si>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</si>
  <si>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</si>
  <si>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</si>
  <si>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</si>
  <si>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</si>
  <si>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</si>
  <si>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</si>
  <si>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</si>
  <si>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</si>
  <si>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</si>
  <si>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</si>
  <si>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</si>
  <si>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</si>
  <si>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</si>
  <si>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</si>
  <si>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</si>
  <si>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</si>
  <si>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</si>
  <si>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</si>
  <si>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</si>
  <si>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</si>
  <si>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</si>
  <si>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</si>
  <si>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</si>
  <si>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</si>
  <si>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</si>
  <si>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</si>
  <si>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</si>
  <si>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</si>
  <si>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</si>
  <si>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</si>
  <si>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</si>
  <si>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</si>
  <si>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</si>
  <si>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</si>
  <si>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</si>
  <si>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</si>
  <si>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</si>
  <si>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</si>
  <si>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</si>
  <si>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</si>
  <si>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</si>
  <si>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</si>
  <si>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</si>
  <si>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</si>
  <si>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</si>
  <si>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</si>
  <si>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</si>
  <si>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</si>
  <si>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</si>
  <si>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</si>
  <si>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</si>
  <si>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</si>
  <si>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</si>
  <si>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</si>
  <si>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</si>
  <si>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</si>
  <si>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</si>
  <si>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</si>
  <si>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</si>
  <si>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</si>
  <si>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</si>
  <si>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</si>
  <si>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</si>
  <si>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</si>
  <si>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</si>
  <si>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</si>
  <si>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</si>
  <si>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</si>
  <si>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</si>
  <si>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</si>
  <si>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</si>
  <si>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</si>
  <si>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</si>
  <si>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</si>
  <si>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</si>
  <si>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</si>
  <si>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</si>
  <si>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</si>
  <si>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</si>
  <si>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</si>
  <si>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</si>
  <si>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</si>
  <si>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</si>
  <si>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</si>
  <si>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</si>
  <si>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</si>
  <si>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</si>
  <si>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</si>
  <si>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</si>
  <si>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</si>
  <si>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</si>
  <si>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</si>
  <si>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</si>
  <si>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</si>
  <si>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</si>
  <si>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</si>
  <si>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</si>
  <si>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</si>
  <si>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</si>
  <si>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</si>
  <si>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</si>
  <si>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</si>
  <si>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</si>
  <si>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</si>
  <si>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</si>
  <si>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</si>
  <si>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</si>
  <si>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</si>
  <si>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</si>
  <si>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</si>
  <si>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</si>
  <si>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</si>
  <si>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</si>
  <si>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</si>
  <si>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</si>
  <si>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</si>
  <si>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</si>
  <si>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</si>
  <si>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</si>
  <si>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</si>
  <si>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</si>
  <si>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</si>
  <si>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</si>
  <si>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</si>
  <si>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</si>
  <si>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</si>
  <si>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</si>
  <si>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</si>
  <si>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</si>
  <si>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</si>
  <si>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</si>
  <si>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</si>
  <si>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</si>
  <si>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</si>
  <si>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</si>
  <si>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</si>
  <si>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</si>
  <si>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</si>
  <si>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</si>
  <si>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</si>
  <si>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</si>
  <si>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</si>
  <si>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</si>
  <si>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</si>
  <si>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</si>
  <si>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</si>
  <si>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</si>
  <si>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</si>
  <si>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</si>
  <si>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</si>
  <si>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</si>
  <si>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</si>
  <si>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</si>
  <si>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</si>
  <si>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</si>
  <si>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</si>
  <si>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</si>
  <si>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</si>
  <si>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</si>
  <si>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</si>
  <si>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</si>
  <si>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</si>
  <si>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</si>
  <si>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</si>
  <si>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</si>
  <si>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</si>
  <si>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</si>
  <si>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</si>
  <si>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</si>
  <si>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</si>
  <si>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</si>
  <si>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</si>
  <si>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</si>
  <si>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</si>
  <si>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</si>
  <si>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</si>
  <si>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</si>
  <si>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</si>
  <si>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</si>
  <si>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</si>
  <si>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</si>
  <si>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</si>
  <si>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</si>
  <si>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</si>
  <si>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</si>
  <si>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</si>
  <si>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</si>
  <si>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</si>
  <si>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</si>
  <si>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</si>
  <si>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</si>
  <si>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</si>
  <si>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</si>
  <si>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</si>
  <si>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</si>
  <si>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</si>
  <si>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</si>
  <si>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</si>
  <si>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</si>
  <si>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</si>
  <si>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</si>
  <si>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</si>
  <si>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</si>
  <si>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</si>
  <si>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</si>
  <si>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</si>
  <si>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</si>
  <si>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</si>
  <si>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</si>
  <si>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</si>
  <si>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</si>
  <si>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</si>
  <si>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</si>
  <si>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</si>
  <si>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</si>
  <si>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</si>
  <si>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</si>
  <si>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</si>
  <si>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</si>
  <si>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</si>
  <si>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</si>
  <si>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</si>
  <si>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</si>
  <si>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</si>
  <si>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</si>
  <si>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</si>
  <si>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</si>
  <si>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</si>
  <si>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</si>
  <si>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</si>
  <si>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</si>
  <si>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</si>
  <si>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</si>
  <si>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</si>
  <si>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</si>
  <si>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</si>
  <si>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</si>
  <si>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</si>
  <si>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</si>
  <si>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</si>
  <si>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</si>
  <si>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</si>
  <si>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</si>
  <si>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</si>
  <si>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</si>
  <si>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</si>
  <si>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</si>
  <si>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</si>
  <si>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</si>
  <si>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</si>
  <si>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</si>
  <si>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</si>
  <si>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</si>
  <si>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</si>
  <si>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</si>
  <si>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</si>
  <si>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</si>
  <si>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</si>
  <si>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</si>
  <si>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</si>
  <si>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</si>
  <si>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</si>
  <si>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</si>
  <si>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</si>
  <si>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</si>
  <si>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</si>
  <si>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</si>
  <si>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</si>
  <si>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</si>
  <si>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</si>
  <si>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</si>
  <si>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</si>
  <si>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</si>
  <si>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</si>
  <si>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</si>
  <si>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</si>
  <si>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</si>
  <si>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</si>
  <si>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</si>
  <si>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</si>
  <si>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</si>
  <si>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</si>
  <si>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</si>
  <si>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</si>
  <si>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</si>
  <si>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</si>
  <si>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</si>
  <si>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</si>
  <si>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</si>
  <si>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</si>
  <si>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</si>
  <si>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</si>
  <si>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</si>
  <si>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</si>
  <si>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</si>
  <si>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</si>
  <si>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</si>
  <si>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</si>
  <si>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</si>
  <si>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</si>
  <si>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</si>
  <si>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</si>
  <si>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</si>
  <si>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</si>
  <si>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</si>
  <si>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</si>
  <si>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</si>
  <si>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</si>
  <si>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</si>
  <si>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</si>
  <si>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</si>
  <si>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</si>
  <si>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</si>
  <si>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</si>
  <si>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</si>
  <si>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</si>
  <si>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</si>
  <si>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</si>
  <si>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</si>
  <si>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</si>
  <si>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</si>
  <si>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</si>
  <si>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</si>
  <si>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</si>
  <si>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</si>
  <si>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</si>
  <si>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</si>
  <si>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</si>
  <si>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</si>
  <si>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</si>
  <si>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</si>
  <si>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</si>
  <si>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</si>
  <si>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</si>
  <si>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</si>
  <si>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</si>
  <si>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</si>
  <si>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</si>
  <si>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</si>
  <si>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</si>
  <si>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</si>
  <si>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</si>
  <si>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</si>
  <si>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</si>
  <si>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</si>
  <si>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</si>
  <si>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</si>
  <si>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</si>
  <si>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</si>
  <si>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</si>
  <si>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</si>
  <si>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</si>
  <si>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</si>
  <si>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</si>
  <si>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</si>
  <si>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</si>
  <si>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</si>
  <si>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</si>
  <si>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</si>
  <si>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</si>
  <si>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</si>
  <si>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</si>
  <si>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</si>
  <si>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</si>
  <si>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</si>
  <si>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</si>
  <si>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</si>
  <si>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</si>
  <si>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</si>
  <si>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</si>
  <si>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</si>
  <si>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</si>
  <si>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</si>
  <si>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</si>
  <si>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</si>
  <si>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</si>
  <si>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</si>
  <si>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</si>
  <si>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</si>
  <si>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</si>
  <si>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</si>
  <si>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</si>
  <si>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</si>
  <si>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</si>
  <si>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</si>
  <si>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</si>
  <si>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</si>
  <si>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</si>
  <si>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</si>
  <si>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</si>
  <si>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</si>
  <si>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</si>
  <si>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</si>
  <si>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</si>
  <si>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</si>
  <si>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</si>
  <si>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</si>
  <si>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</si>
  <si>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</si>
  <si>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</si>
  <si>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</si>
  <si>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</si>
  <si>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</si>
  <si>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</si>
  <si>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</si>
  <si>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</si>
  <si>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</si>
  <si>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</si>
  <si>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</si>
  <si>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</si>
  <si>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</si>
  <si>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</si>
  <si>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</si>
  <si>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</si>
  <si>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</si>
  <si>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</si>
  <si>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</si>
  <si>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</si>
  <si>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</si>
  <si>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</si>
  <si>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</si>
  <si>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</si>
  <si>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</si>
  <si>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</si>
  <si>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</si>
  <si>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</si>
  <si>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</si>
  <si>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</si>
  <si>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</si>
  <si>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</si>
  <si>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</si>
  <si>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</si>
  <si>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</si>
  <si>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</si>
  <si>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</si>
  <si>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</si>
  <si>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</si>
  <si>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</si>
  <si>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</si>
  <si>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</si>
  <si>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</si>
  <si>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</si>
  <si>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</si>
  <si>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</si>
  <si>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</si>
  <si>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</si>
  <si>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</si>
  <si>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</si>
  <si>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</si>
  <si>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</si>
  <si>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</si>
  <si>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</si>
  <si>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</si>
  <si>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</si>
  <si>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</si>
  <si>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</si>
  <si>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</si>
  <si>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</si>
  <si>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</si>
  <si>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</si>
  <si>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</si>
  <si>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</si>
  <si>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</si>
  <si>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</si>
  <si>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</si>
  <si>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</si>
  <si>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</si>
  <si>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</si>
  <si>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</si>
  <si>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</si>
  <si>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</si>
  <si>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</si>
  <si>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</si>
  <si>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</si>
  <si>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</si>
  <si>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</si>
  <si>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</si>
  <si>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</si>
  <si>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</si>
  <si>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</si>
  <si>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</si>
  <si>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</si>
  <si>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</si>
  <si>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</si>
  <si>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</si>
  <si>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</si>
  <si>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</si>
  <si>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</si>
  <si>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</si>
  <si>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</si>
  <si>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</si>
  <si>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</si>
  <si>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</si>
  <si>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</si>
  <si>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</si>
  <si>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</si>
  <si>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</si>
  <si>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</si>
  <si>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</si>
  <si>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</si>
  <si>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</si>
  <si>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</si>
  <si>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</si>
  <si>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</si>
  <si>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</si>
  <si>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</si>
  <si>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</si>
  <si>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</si>
  <si>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</si>
  <si>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</si>
  <si>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</si>
  <si>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</si>
  <si>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</si>
  <si>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</si>
  <si>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</si>
  <si>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</si>
  <si>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</si>
  <si>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</si>
  <si>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</si>
  <si>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</si>
  <si>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</si>
  <si>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</si>
  <si>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</si>
  <si>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</si>
  <si>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</si>
  <si>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</si>
  <si>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</si>
  <si>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</si>
  <si>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</si>
  <si>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</si>
  <si>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</si>
  <si>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</si>
  <si>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</si>
  <si>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</si>
  <si>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</si>
  <si>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</si>
  <si>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</si>
  <si>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</si>
  <si>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</si>
  <si>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</si>
  <si>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</si>
  <si>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</si>
  <si>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</si>
  <si>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</si>
  <si>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</si>
  <si>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</si>
  <si>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</si>
  <si>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</si>
  <si>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</si>
  <si>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</si>
  <si>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</si>
  <si>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</si>
  <si>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</si>
  <si>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</si>
  <si>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</si>
  <si>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</si>
  <si>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</si>
  <si>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</si>
  <si>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</si>
  <si>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</si>
  <si>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</si>
  <si>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</si>
  <si>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</si>
  <si>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</si>
  <si>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</si>
  <si>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</si>
  <si>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</si>
  <si>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</si>
  <si>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</si>
  <si>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</si>
  <si>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</si>
  <si>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</si>
  <si>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</si>
  <si>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</si>
  <si>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</si>
  <si>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</si>
  <si>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</si>
  <si>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</si>
  <si>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</si>
  <si>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</si>
  <si>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</si>
  <si>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</si>
  <si>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</si>
  <si>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</si>
  <si>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</si>
  <si>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</si>
  <si>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</si>
  <si>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</si>
  <si>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</si>
  <si>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</si>
  <si>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</si>
  <si>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</si>
  <si>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</si>
  <si>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</si>
  <si>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</si>
  <si>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</si>
  <si>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</si>
  <si>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</si>
  <si>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</si>
  <si>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</si>
  <si>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</si>
  <si>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</si>
  <si>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</si>
  <si>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</si>
  <si>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</si>
  <si>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</si>
  <si>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</si>
  <si>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</si>
  <si>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</si>
  <si>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</si>
  <si>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</si>
  <si>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</si>
  <si>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</si>
  <si>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</si>
  <si>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</si>
  <si>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</si>
  <si>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</si>
  <si>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</si>
  <si>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</si>
  <si>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</si>
  <si>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</si>
  <si>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</si>
  <si>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</si>
  <si>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</si>
  <si>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</si>
  <si>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</si>
  <si>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</si>
  <si>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</si>
  <si>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</si>
  <si>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</si>
  <si>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</si>
  <si>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</si>
  <si>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</si>
  <si>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</si>
  <si>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</si>
  <si>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</si>
  <si>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</si>
  <si>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</si>
  <si>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</si>
  <si>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</si>
  <si>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</si>
  <si>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</si>
  <si>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</si>
  <si>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</si>
  <si>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</si>
  <si>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</si>
  <si>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</si>
  <si>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</si>
  <si>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</si>
  <si>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</si>
  <si>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</si>
  <si>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</si>
  <si>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</si>
  <si>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</si>
  <si>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</si>
  <si>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</si>
  <si>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</si>
  <si>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</si>
  <si>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</si>
  <si>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</si>
  <si>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</si>
  <si>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</si>
  <si>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</si>
  <si>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</si>
  <si>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</si>
  <si>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</si>
  <si>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</si>
  <si>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</si>
  <si>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</si>
  <si>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</si>
  <si>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</si>
  <si>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</si>
  <si>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</si>
  <si>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</si>
  <si>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</si>
  <si>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</si>
  <si>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</si>
  <si>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</si>
  <si>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</si>
  <si>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</si>
  <si>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</si>
  <si>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</si>
  <si>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</si>
  <si>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</si>
  <si>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</si>
  <si>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</si>
  <si>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</si>
  <si>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</si>
  <si>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</si>
  <si>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</si>
  <si>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</si>
  <si>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</si>
  <si>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</si>
  <si>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</si>
  <si>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</si>
  <si>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</si>
  <si>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</si>
  <si>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</si>
  <si>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</si>
  <si>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</si>
  <si>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</si>
  <si>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</si>
  <si>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</si>
  <si>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</si>
  <si>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</si>
  <si>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</si>
  <si>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</si>
  <si>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</si>
  <si>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</si>
  <si>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</si>
  <si>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</si>
  <si>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</si>
  <si>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</si>
  <si>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</si>
  <si>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</si>
  <si>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</si>
  <si>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</si>
  <si>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</si>
  <si>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</si>
  <si>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</si>
  <si>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</si>
  <si>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</si>
  <si>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</si>
  <si>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</si>
  <si>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</si>
  <si>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</si>
  <si>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</si>
  <si>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</si>
  <si>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</si>
  <si>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</si>
  <si>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</si>
  <si>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</si>
  <si>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</si>
  <si>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</si>
  <si>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</si>
  <si>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</si>
  <si>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</si>
  <si>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</si>
  <si>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</si>
  <si>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</si>
  <si>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</si>
  <si>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</si>
  <si>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</si>
  <si>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</si>
  <si>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</si>
  <si>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</si>
  <si>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</si>
  <si>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</si>
  <si>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</si>
  <si>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</si>
  <si>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</si>
  <si>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</si>
  <si>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</si>
  <si>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</si>
  <si>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</si>
  <si>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</si>
  <si>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</si>
  <si>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</si>
  <si>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</si>
  <si>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</si>
  <si>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</si>
  <si>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</si>
  <si>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</si>
  <si>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</si>
  <si>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</si>
  <si>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</si>
  <si>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</si>
  <si>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</si>
  <si>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</si>
  <si>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</si>
  <si>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</si>
  <si>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</si>
  <si>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</si>
  <si>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</si>
  <si>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</si>
  <si>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</si>
  <si>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</si>
  <si>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</si>
  <si>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</si>
  <si>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</si>
  <si>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</si>
  <si>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</si>
  <si>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</si>
  <si>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</si>
  <si>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</si>
  <si>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</si>
  <si>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</si>
  <si>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</si>
  <si>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</si>
  <si>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</si>
  <si>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</si>
  <si>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</si>
  <si>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</si>
  <si>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</si>
  <si>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</si>
  <si>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</si>
  <si>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</si>
  <si>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</si>
  <si>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</si>
  <si>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</si>
  <si>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</si>
  <si>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</si>
  <si>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</si>
  <si>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</si>
  <si>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</si>
  <si>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</si>
  <si>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</si>
  <si>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</si>
  <si>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</si>
  <si>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</si>
  <si>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</si>
  <si>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</si>
  <si>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</si>
  <si>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</si>
  <si>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</si>
  <si>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</si>
  <si>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</si>
  <si>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</si>
  <si>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</si>
  <si>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</si>
  <si>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</si>
  <si>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</si>
  <si>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</si>
  <si>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</si>
  <si>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</si>
  <si>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</si>
  <si>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</si>
  <si>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</si>
  <si>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</si>
  <si>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</si>
  <si>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</si>
  <si>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</si>
  <si>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</si>
  <si>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</si>
  <si>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</si>
  <si>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</si>
  <si>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</si>
  <si>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</si>
  <si>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</si>
  <si>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</si>
  <si>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</si>
  <si>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</si>
  <si>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</si>
  <si>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</si>
  <si>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</si>
  <si>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</si>
  <si>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</si>
  <si>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</si>
  <si>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</si>
  <si>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</si>
  <si>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</si>
  <si>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</si>
  <si>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</si>
  <si>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</si>
  <si>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</si>
  <si>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</si>
  <si>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</si>
  <si>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</si>
  <si>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</si>
  <si>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</si>
  <si>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</si>
  <si>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</si>
  <si>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</si>
  <si>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</si>
  <si>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</si>
  <si>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</si>
  <si>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</si>
  <si>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</si>
  <si>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</si>
  <si>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</si>
  <si>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</si>
  <si>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</si>
  <si>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</si>
  <si>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</si>
  <si>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</si>
  <si>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</si>
  <si>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</si>
  <si>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</si>
  <si>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</si>
  <si>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</si>
  <si>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</si>
  <si>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</si>
  <si>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</si>
  <si>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</si>
  <si>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</si>
  <si>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</si>
  <si>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</si>
  <si>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</si>
  <si>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</si>
  <si>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</si>
  <si>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</si>
  <si>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</si>
  <si>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</si>
  <si>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</si>
  <si>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</si>
  <si>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</si>
  <si>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</si>
  <si>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</si>
  <si>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</si>
  <si>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</si>
  <si>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</si>
  <si>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</si>
  <si>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</si>
  <si>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</si>
  <si>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</si>
  <si>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</si>
  <si>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</si>
  <si>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</si>
  <si>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</si>
  <si>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</si>
  <si>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</si>
  <si>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</si>
  <si>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</si>
  <si>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</si>
  <si>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</si>
  <si>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</si>
  <si>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</si>
  <si>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</si>
  <si>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</si>
  <si>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</si>
  <si>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</si>
  <si>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</si>
  <si>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</si>
  <si>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</si>
  <si>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</si>
  <si>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</si>
  <si>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</si>
  <si>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</si>
  <si>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</si>
  <si>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</si>
  <si>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</si>
  <si>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</si>
  <si>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</si>
  <si>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</si>
  <si>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</si>
  <si>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</si>
  <si>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</si>
  <si>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</si>
  <si>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</si>
  <si>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</si>
  <si>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</si>
  <si>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</si>
  <si>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</si>
  <si>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</si>
  <si>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</si>
  <si>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</si>
  <si>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</si>
  <si>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</si>
  <si>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</si>
  <si>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</si>
  <si>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</si>
  <si>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</si>
  <si>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</si>
  <si>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</si>
  <si>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</si>
  <si>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</si>
  <si>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</si>
  <si>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</si>
  <si>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</si>
  <si>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</si>
  <si>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</si>
  <si>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</si>
  <si>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</si>
  <si>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</si>
  <si>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</si>
  <si>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</si>
  <si>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</si>
  <si>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</si>
  <si>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</si>
  <si>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</si>
  <si>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</si>
  <si>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</si>
  <si>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</si>
  <si>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</si>
  <si>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</si>
  <si>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</si>
  <si>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</si>
  <si>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</si>
  <si>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</si>
  <si>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</si>
  <si>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</si>
  <si>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</si>
  <si>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</si>
  <si>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</si>
  <si>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</si>
  <si>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</si>
  <si>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</si>
  <si>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</si>
  <si>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</si>
  <si>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</si>
  <si>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</si>
  <si>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</si>
  <si>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</si>
  <si>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</si>
  <si>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</si>
  <si>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</si>
  <si>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</si>
  <si>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</si>
  <si>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</si>
  <si>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</si>
  <si>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</si>
  <si>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</si>
  <si>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</si>
  <si>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</si>
  <si>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</si>
  <si>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</si>
  <si>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</si>
  <si>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</si>
  <si>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</si>
  <si>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</si>
  <si>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</si>
  <si>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</si>
  <si>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</si>
  <si>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</si>
  <si>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</si>
  <si>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</si>
  <si>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</si>
  <si>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</si>
  <si>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</si>
  <si>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</si>
  <si>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</si>
  <si>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</si>
  <si>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</si>
  <si>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</si>
  <si>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</si>
  <si>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</si>
  <si>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</si>
  <si>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</si>
  <si>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</si>
  <si>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</si>
  <si>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</si>
  <si>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</si>
  <si>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</si>
  <si>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</si>
  <si>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</si>
  <si>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</si>
  <si>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</si>
  <si>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</si>
  <si>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</si>
  <si>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</si>
  <si>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</si>
  <si>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</si>
  <si>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</si>
  <si>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</si>
  <si>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</si>
  <si>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</si>
  <si>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</si>
  <si>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</si>
  <si>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</si>
  <si>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</si>
  <si>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</si>
  <si>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</si>
  <si>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</si>
  <si>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</si>
  <si>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</si>
  <si>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</si>
  <si>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</si>
  <si>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</si>
  <si>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</si>
  <si>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</si>
  <si>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</si>
  <si>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</si>
  <si>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</si>
  <si>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</si>
  <si>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</si>
  <si>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</si>
  <si>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</si>
  <si>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</si>
  <si>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</si>
  <si>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</si>
  <si>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</si>
  <si>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</si>
  <si>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</si>
  <si>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</si>
  <si>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</si>
  <si>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</si>
  <si>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</si>
  <si>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</si>
  <si>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</si>
  <si>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</si>
  <si>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</si>
  <si>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</si>
  <si>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</si>
  <si>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</si>
  <si>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</si>
  <si>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</si>
  <si>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</si>
  <si>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</si>
  <si>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</si>
  <si>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</si>
  <si>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</si>
  <si>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</si>
  <si>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</si>
  <si>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</si>
  <si>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</si>
  <si>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</si>
  <si>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</si>
  <si>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</si>
  <si>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</si>
  <si>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</si>
  <si>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</si>
  <si>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</si>
  <si>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</si>
  <si>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</si>
  <si>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</si>
  <si>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</si>
  <si>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</si>
  <si>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</si>
  <si>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</si>
  <si>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</si>
  <si>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</si>
  <si>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</si>
  <si>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</si>
  <si>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</si>
  <si>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</si>
  <si>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</si>
  <si>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</si>
  <si>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</si>
  <si>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</si>
  <si>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</si>
  <si>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</si>
  <si>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</si>
  <si>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</si>
  <si>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</si>
  <si>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</si>
  <si>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</si>
  <si>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</si>
  <si>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</si>
  <si>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</si>
  <si>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</si>
  <si>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</si>
  <si>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</si>
  <si>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</si>
  <si>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</si>
  <si>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</si>
  <si>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</si>
  <si>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</si>
  <si>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</si>
  <si>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</si>
  <si>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</si>
  <si>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</si>
  <si>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</si>
  <si>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</si>
  <si>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</si>
  <si>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</si>
  <si>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</si>
  <si>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</si>
  <si>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</si>
  <si>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</si>
  <si>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</si>
  <si>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</si>
  <si>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</si>
  <si>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</si>
  <si>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</si>
  <si>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</si>
  <si>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</si>
  <si>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</si>
  <si>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</si>
  <si>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</si>
  <si>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</si>
  <si>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</si>
  <si>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</si>
  <si>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</si>
  <si>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</si>
  <si>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</si>
  <si>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</si>
  <si>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</si>
  <si>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</si>
  <si>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</si>
  <si>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</si>
  <si>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</si>
  <si>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</si>
  <si>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</si>
  <si>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</si>
  <si>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</si>
  <si>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</si>
  <si>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</si>
  <si>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</si>
  <si>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</si>
  <si>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</si>
  <si>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</si>
  <si>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</si>
  <si>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</si>
  <si>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</si>
  <si>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</si>
  <si>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</si>
  <si>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</si>
  <si>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</si>
  <si>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</si>
  <si>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</si>
  <si>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</si>
  <si>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</si>
  <si>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</si>
  <si>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</si>
  <si>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</si>
  <si>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</si>
  <si>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</si>
  <si>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</si>
  <si>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</si>
  <si>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</si>
  <si>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</si>
  <si>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</si>
  <si>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</si>
  <si>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</si>
  <si>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</si>
  <si>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</si>
  <si>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</si>
  <si>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</si>
  <si>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</si>
  <si>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</si>
  <si>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</si>
  <si>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</si>
  <si>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</si>
  <si>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</si>
  <si>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</si>
  <si>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</si>
  <si>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</si>
  <si>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</si>
  <si>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</si>
  <si>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</si>
  <si>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</si>
  <si>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</si>
  <si>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</si>
  <si>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</si>
  <si>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</si>
  <si>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</si>
  <si>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</si>
  <si>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</si>
  <si>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</si>
  <si>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</si>
  <si>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</si>
  <si>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</si>
  <si>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</si>
  <si>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</si>
  <si>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</si>
  <si>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</si>
  <si>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</si>
  <si>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</si>
  <si>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</si>
  <si>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</si>
  <si>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</si>
  <si>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</si>
  <si>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</si>
  <si>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</si>
  <si>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</si>
  <si>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</si>
  <si>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</si>
  <si>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</si>
  <si>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</si>
  <si>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</si>
  <si>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</si>
  <si>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</si>
  <si>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</si>
  <si>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</si>
  <si>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</si>
  <si>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</si>
  <si>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</si>
  <si>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</si>
  <si>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</si>
  <si>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</si>
  <si>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</si>
  <si>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</si>
  <si>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</si>
  <si>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</si>
  <si>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</si>
  <si>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</si>
  <si>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</si>
  <si>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</si>
  <si>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</si>
  <si>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</si>
  <si>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</si>
  <si>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</si>
  <si>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</si>
  <si>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</si>
  <si>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</si>
  <si>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</si>
  <si>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</si>
  <si>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</si>
  <si>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</si>
  <si>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</si>
  <si>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</si>
  <si>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</si>
  <si>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</si>
  <si>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</si>
  <si>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</si>
  <si>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</si>
  <si>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</si>
  <si>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</si>
  <si>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</si>
  <si>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</si>
  <si>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</si>
  <si>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</si>
  <si>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</si>
  <si>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</si>
  <si>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</si>
  <si>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</si>
  <si>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</si>
  <si>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</si>
  <si>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</si>
  <si>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</si>
  <si>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</si>
  <si>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</si>
  <si>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</si>
  <si>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</si>
  <si>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</si>
  <si>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</si>
  <si>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</si>
  <si>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</si>
  <si>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</si>
  <si>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</si>
  <si>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</si>
  <si>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</si>
  <si>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</si>
  <si>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</si>
  <si>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</si>
  <si>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</si>
  <si>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</si>
  <si>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</si>
  <si>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</si>
  <si>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</si>
  <si>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</si>
  <si>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</si>
  <si>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</si>
  <si>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</si>
  <si>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</si>
  <si>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</si>
  <si>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</si>
  <si>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</si>
  <si>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</si>
  <si>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</si>
  <si>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</si>
  <si>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</si>
  <si>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</si>
  <si>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</si>
  <si>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</si>
  <si>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</si>
  <si>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</si>
  <si>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</si>
  <si>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</si>
  <si>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</si>
  <si>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</si>
  <si>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</si>
  <si>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</si>
  <si>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</si>
  <si>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</si>
  <si>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</si>
  <si>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</si>
  <si>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</si>
  <si>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</si>
  <si>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</si>
  <si>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</si>
  <si>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</si>
  <si>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</si>
  <si>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</si>
  <si>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</si>
  <si>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</si>
  <si>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</si>
  <si>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</si>
  <si>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</si>
  <si>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</si>
  <si>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</si>
  <si>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</si>
  <si>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</si>
  <si>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</si>
  <si>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</si>
  <si>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</si>
  <si>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</si>
  <si>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</si>
  <si>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</si>
  <si>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</si>
  <si>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</si>
  <si>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</si>
  <si>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</si>
  <si>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</si>
  <si>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</si>
  <si>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</si>
  <si>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</si>
  <si>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</si>
  <si>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</si>
  <si>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</si>
  <si>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</si>
  <si>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</si>
  <si>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</si>
  <si>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</si>
  <si>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</si>
  <si>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</si>
  <si>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</si>
  <si>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</si>
  <si>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</si>
  <si>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</si>
  <si>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</si>
  <si>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</si>
  <si>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</si>
  <si>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</si>
  <si>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</si>
  <si>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</si>
  <si>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</si>
  <si>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</si>
  <si>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</si>
  <si>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</si>
  <si>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</si>
  <si>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</si>
  <si>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</si>
  <si>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</si>
  <si>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</si>
  <si>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</si>
  <si>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</si>
  <si>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</si>
  <si>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</si>
  <si>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</si>
  <si>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</si>
  <si>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</si>
  <si>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</si>
  <si>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</si>
  <si>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</si>
  <si>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</si>
  <si>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</si>
  <si>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</si>
  <si>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</si>
  <si>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</si>
  <si>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</si>
  <si>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</si>
  <si>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</si>
  <si>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</si>
  <si>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</si>
  <si>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</si>
  <si>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</si>
  <si>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</si>
  <si>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</si>
  <si>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</si>
  <si>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</si>
  <si>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</si>
  <si>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</si>
  <si>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</si>
  <si>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</si>
  <si>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</si>
  <si>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</si>
  <si>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</si>
  <si>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</si>
  <si>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</si>
  <si>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</si>
  <si>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</si>
  <si>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</si>
  <si>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</si>
  <si>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</si>
  <si>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</si>
  <si>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</si>
  <si>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</si>
  <si>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</si>
  <si>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</si>
  <si>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</si>
  <si>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</si>
  <si>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</si>
  <si>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</si>
  <si>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</si>
  <si>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</si>
  <si>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</si>
  <si>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</si>
  <si>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</si>
  <si>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</si>
  <si>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</si>
  <si>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</si>
  <si>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</si>
  <si>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</si>
  <si>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</si>
  <si>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</si>
  <si>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</si>
  <si>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</si>
  <si>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</si>
  <si>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</si>
  <si>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</si>
  <si>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</si>
  <si>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</si>
  <si>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</si>
  <si>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</si>
  <si>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</si>
  <si>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</si>
  <si>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</si>
  <si>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</si>
  <si>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</si>
  <si>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</si>
  <si>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</si>
  <si>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</si>
  <si>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</si>
  <si>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</si>
  <si>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</si>
  <si>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</si>
  <si>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</si>
  <si>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</si>
  <si>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</si>
  <si>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</si>
  <si>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</si>
  <si>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</si>
  <si>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</si>
  <si>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</si>
  <si>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</si>
  <si>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</si>
  <si>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</si>
  <si>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</si>
  <si>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</si>
  <si>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</si>
  <si>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</si>
  <si>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</si>
  <si>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</si>
  <si>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</si>
  <si>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</si>
  <si>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</si>
  <si>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</si>
  <si>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</si>
  <si>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</si>
  <si>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</si>
  <si>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</si>
  <si>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</si>
  <si>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</si>
  <si>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</si>
  <si>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</si>
  <si>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</si>
  <si>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</si>
  <si>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</si>
  <si>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</si>
  <si>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</si>
  <si>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</si>
  <si>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</si>
  <si>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</si>
  <si>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</si>
  <si>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</si>
  <si>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</si>
  <si>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</si>
  <si>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</si>
  <si>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</si>
  <si>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</si>
  <si>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</si>
  <si>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</si>
  <si>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</si>
  <si>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</si>
  <si>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</si>
  <si>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</si>
  <si>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</si>
  <si>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</si>
  <si>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</si>
  <si>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</si>
  <si>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</si>
  <si>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</si>
  <si>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</si>
  <si>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</si>
  <si>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</si>
  <si>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</si>
  <si>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</si>
  <si>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</si>
  <si>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</si>
  <si>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</si>
  <si>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</si>
  <si>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</si>
  <si>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</si>
  <si>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</si>
  <si>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</si>
  <si>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</si>
  <si>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</si>
  <si>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</si>
  <si>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</si>
  <si>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</si>
  <si>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</si>
  <si>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</si>
  <si>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</si>
  <si>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</si>
  <si>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</si>
  <si>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</si>
  <si>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</si>
  <si>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</si>
  <si>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</si>
  <si>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</si>
  <si>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</si>
  <si>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</si>
  <si>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</si>
  <si>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</si>
  <si>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</si>
  <si>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</si>
  <si>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</si>
  <si>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</si>
  <si>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</si>
  <si>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</si>
  <si>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</si>
  <si>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</si>
  <si>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</si>
  <si>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</si>
  <si>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</si>
  <si>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</si>
  <si>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</si>
  <si>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</si>
  <si>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</si>
  <si>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</si>
  <si>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</si>
  <si>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</si>
  <si>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</si>
  <si>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</si>
  <si>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</si>
  <si>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</si>
  <si>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</si>
  <si>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</si>
  <si>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</si>
  <si>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</si>
  <si>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</si>
  <si>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</si>
  <si>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</si>
  <si>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</si>
  <si>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</si>
  <si>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</si>
  <si>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</si>
  <si>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</si>
  <si>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</si>
  <si>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</si>
  <si>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</si>
  <si>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</si>
  <si>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</si>
  <si>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</si>
  <si>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</si>
  <si>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</si>
  <si>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</si>
  <si>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</si>
  <si>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</si>
  <si>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</si>
  <si>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</si>
  <si>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</si>
  <si>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</si>
  <si>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</si>
  <si>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</si>
  <si>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</si>
  <si>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</si>
  <si>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</si>
  <si>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</si>
  <si>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</si>
  <si>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</si>
  <si>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</si>
  <si>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</si>
  <si>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</si>
  <si>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</si>
  <si>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</si>
  <si>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</si>
  <si>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</si>
  <si>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</si>
  <si>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</si>
  <si>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</si>
  <si>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</si>
  <si>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</si>
  <si>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</si>
  <si>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</si>
  <si>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</si>
  <si>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</si>
  <si>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</si>
  <si>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</si>
  <si>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</si>
  <si>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</si>
  <si>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</si>
  <si>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</si>
  <si>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</si>
  <si>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</si>
  <si>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</si>
  <si>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</si>
  <si>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</si>
  <si>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</si>
  <si>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</si>
  <si>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</si>
  <si>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</si>
  <si>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</si>
  <si>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</si>
  <si>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</si>
  <si>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</si>
  <si>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</si>
  <si>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</si>
  <si>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</si>
  <si>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</si>
  <si>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</si>
  <si>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</si>
  <si>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</si>
  <si>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</si>
  <si>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</si>
  <si>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</si>
  <si>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</si>
  <si>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</si>
  <si>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</si>
  <si>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</si>
  <si>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</si>
  <si>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</si>
  <si>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</si>
  <si>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</si>
  <si>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</si>
  <si>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</si>
  <si>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</si>
  <si>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</si>
  <si>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</si>
  <si>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</si>
  <si>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</si>
  <si>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</si>
  <si>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</si>
  <si>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</si>
  <si>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</si>
  <si>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</si>
  <si>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</si>
  <si>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</si>
  <si>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</si>
  <si>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</si>
  <si>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</si>
  <si>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</si>
  <si>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</si>
  <si>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</si>
  <si>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</si>
  <si>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</si>
  <si>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</si>
  <si>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</si>
  <si>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</si>
  <si>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</si>
  <si>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</si>
  <si>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</si>
  <si>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</si>
  <si>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</si>
  <si>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</si>
  <si>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</si>
  <si>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</si>
  <si>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</si>
  <si>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</si>
  <si>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</si>
  <si>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</si>
  <si>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</si>
  <si>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</si>
  <si>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</si>
  <si>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</si>
  <si>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</si>
  <si>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</si>
  <si>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</si>
  <si>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</si>
  <si>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</si>
  <si>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</si>
  <si>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</si>
  <si>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</si>
  <si>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</si>
  <si>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</si>
  <si>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</si>
  <si>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</si>
  <si>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</si>
  <si>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</si>
  <si>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</si>
  <si>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</si>
  <si>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</si>
  <si>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</si>
  <si>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</si>
  <si>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</si>
  <si>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</si>
  <si>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</si>
  <si>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</si>
  <si>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</si>
  <si>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</si>
  <si>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</si>
  <si>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</si>
  <si>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</si>
  <si>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</si>
  <si>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</si>
  <si>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</si>
  <si>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</si>
  <si>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</si>
  <si>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</si>
  <si>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</si>
  <si>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</si>
  <si>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</si>
  <si>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</si>
  <si>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</si>
  <si>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</si>
  <si>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</si>
  <si>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</si>
  <si>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</si>
  <si>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</si>
  <si>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</si>
  <si>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</si>
  <si>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</si>
  <si>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</si>
  <si>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</si>
  <si>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</si>
  <si>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</si>
  <si>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</si>
  <si>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</si>
  <si>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</si>
  <si>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</si>
  <si>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</si>
  <si>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</si>
  <si>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</si>
  <si>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</si>
  <si>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</si>
  <si>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</si>
  <si>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</si>
  <si>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</si>
  <si>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</si>
  <si>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</si>
  <si>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</si>
  <si>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</si>
  <si>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</si>
  <si>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</si>
  <si>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</si>
  <si>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</si>
  <si>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</si>
  <si>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</si>
  <si>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</si>
  <si>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</si>
  <si>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</si>
  <si>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</si>
  <si>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</si>
  <si>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</si>
  <si>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</si>
  <si>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</si>
  <si>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</si>
  <si>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</si>
  <si>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</si>
  <si>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</si>
  <si>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</si>
  <si>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</si>
  <si>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</si>
  <si>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</si>
  <si>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</si>
  <si>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</si>
  <si>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</si>
  <si>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</si>
  <si>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</si>
  <si>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</si>
  <si>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</si>
  <si>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</si>
  <si>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</si>
  <si>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</si>
  <si>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</si>
  <si>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</si>
  <si>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</si>
  <si>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</si>
  <si>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</si>
  <si>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</si>
  <si>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</si>
  <si>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</si>
  <si>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</si>
  <si>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</si>
  <si>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</si>
  <si>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</si>
  <si>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</si>
  <si>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</si>
  <si>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</si>
  <si>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</si>
  <si>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</si>
  <si>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</si>
  <si>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</si>
  <si>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</si>
  <si>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</si>
  <si>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</si>
  <si>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</si>
  <si>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</si>
  <si>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</si>
  <si>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</si>
  <si>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</si>
  <si>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</si>
  <si>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</si>
  <si>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</si>
  <si>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</si>
  <si>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</si>
  <si>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</si>
  <si>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</si>
  <si>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</si>
  <si>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</si>
  <si>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</si>
  <si>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</si>
  <si>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</si>
  <si>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</si>
  <si>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</si>
  <si>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</si>
  <si>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</si>
  <si>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</si>
  <si>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</si>
  <si>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</si>
  <si>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</si>
  <si>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</si>
  <si>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</si>
  <si>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</si>
  <si>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</si>
  <si>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</si>
  <si>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</si>
  <si>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</si>
  <si>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</si>
  <si>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</si>
  <si>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</si>
  <si>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</si>
  <si>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</si>
  <si>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</si>
  <si>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</si>
  <si>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</si>
  <si>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</si>
  <si>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</si>
  <si>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</si>
  <si>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</si>
  <si>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</si>
  <si>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</si>
  <si>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</si>
  <si>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</si>
  <si>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</si>
  <si>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</si>
  <si>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</si>
  <si>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</si>
  <si>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</si>
  <si>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</si>
  <si>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</si>
  <si>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</si>
  <si>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</si>
  <si>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</si>
  <si>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</si>
  <si>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</si>
  <si>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</si>
  <si>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</si>
  <si>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</si>
  <si>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</si>
  <si>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</si>
  <si>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</si>
  <si>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</si>
  <si>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</si>
  <si>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</si>
  <si>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</si>
  <si>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</si>
  <si>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</si>
  <si>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</si>
  <si>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</si>
  <si>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</si>
  <si>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</si>
  <si>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</si>
  <si>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</si>
  <si>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</si>
  <si>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</si>
  <si>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</si>
  <si>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</si>
  <si>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</si>
  <si>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</si>
  <si>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</si>
  <si>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</si>
  <si>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</si>
  <si>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</si>
  <si>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</si>
  <si>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</si>
  <si>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</si>
  <si>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</si>
  <si>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</si>
  <si>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</si>
  <si>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</si>
  <si>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</si>
  <si>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</si>
  <si>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</si>
  <si>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</si>
  <si>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</si>
  <si>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</si>
  <si>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</si>
  <si>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</si>
  <si>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</si>
  <si>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</si>
  <si>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</si>
  <si>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</si>
  <si>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</si>
  <si>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</si>
  <si>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</si>
  <si>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</si>
  <si>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</si>
  <si>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</si>
  <si>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</si>
  <si>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</si>
  <si>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</si>
  <si>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</si>
  <si>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</si>
  <si>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</si>
  <si>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</si>
  <si>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</si>
  <si>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</si>
  <si>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</si>
  <si>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</si>
  <si>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</si>
  <si>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</si>
  <si>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</si>
  <si>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</si>
  <si>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</si>
  <si>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</si>
  <si>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</si>
  <si>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</si>
  <si>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</si>
  <si>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</si>
  <si>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</si>
  <si>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</si>
  <si>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</si>
  <si>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</si>
  <si>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</si>
  <si>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</si>
  <si>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</si>
  <si>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</si>
  <si>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</si>
  <si>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</si>
  <si>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</si>
  <si>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</si>
  <si>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</si>
  <si>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</si>
  <si>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</si>
  <si>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</si>
  <si>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</si>
  <si>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</si>
  <si>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</si>
  <si>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</si>
  <si>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</si>
  <si>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</si>
  <si>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</si>
  <si>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</si>
  <si>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</si>
  <si>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</si>
  <si>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</si>
  <si>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</si>
  <si>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</si>
  <si>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</si>
  <si>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</si>
  <si>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</si>
  <si>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</si>
  <si>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</si>
  <si>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</si>
  <si>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</si>
  <si>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</si>
  <si>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</si>
  <si>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</si>
  <si>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</si>
  <si>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</si>
  <si>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</si>
  <si>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</si>
  <si>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</si>
  <si>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</si>
  <si>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</si>
  <si>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</si>
  <si>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</si>
  <si>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</si>
  <si>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</si>
  <si>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</si>
  <si>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</si>
  <si>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</si>
  <si>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</si>
  <si>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</si>
  <si>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</si>
  <si>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</si>
  <si>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</si>
  <si>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</si>
  <si>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</si>
  <si>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</si>
  <si>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</si>
  <si>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</si>
  <si>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</si>
  <si>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</si>
  <si>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</si>
  <si>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</si>
  <si>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</si>
  <si>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</si>
  <si>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</si>
  <si>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</si>
  <si>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</si>
  <si>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</si>
  <si>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</si>
  <si>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</si>
  <si>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</si>
  <si>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</si>
  <si>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</si>
  <si>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</si>
  <si>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</si>
  <si>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</si>
  <si>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</si>
  <si>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</si>
  <si>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</si>
  <si>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</si>
  <si>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</si>
  <si>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</si>
  <si>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</si>
  <si>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</si>
  <si>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</si>
  <si>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</si>
  <si>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</si>
  <si>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</si>
  <si>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</si>
  <si>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</si>
  <si>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</si>
  <si>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</si>
  <si>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</si>
  <si>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</si>
  <si>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</si>
  <si>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</si>
  <si>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</si>
  <si>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</si>
  <si>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</si>
  <si>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</si>
  <si>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</si>
  <si>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</si>
  <si>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</si>
  <si>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</si>
  <si>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</si>
  <si>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</si>
  <si>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</si>
  <si>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</si>
  <si>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</si>
  <si>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</si>
  <si>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</si>
  <si>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</si>
  <si>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</si>
  <si>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</si>
  <si>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</si>
  <si>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</si>
  <si>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</si>
  <si>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</si>
  <si>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</si>
  <si>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</si>
  <si>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</si>
  <si>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</si>
  <si>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</si>
  <si>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</si>
  <si>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</si>
  <si>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</si>
  <si>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</si>
  <si>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</si>
  <si>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</si>
  <si>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</si>
  <si>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</si>
  <si>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</si>
  <si>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</si>
  <si>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</si>
  <si>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</si>
  <si>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</si>
  <si>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</si>
  <si>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</si>
  <si>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</si>
  <si>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</si>
  <si>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</si>
  <si>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</si>
  <si>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</si>
  <si>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</si>
  <si>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</si>
  <si>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</si>
  <si>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</si>
  <si>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</si>
  <si>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</si>
  <si>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</si>
  <si>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</si>
  <si>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</si>
  <si>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</si>
  <si>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</si>
  <si>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</si>
  <si>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</si>
  <si>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</si>
  <si>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</si>
  <si>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</si>
  <si>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</si>
  <si>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</si>
  <si>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</si>
  <si>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</si>
  <si>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</si>
  <si>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</si>
  <si>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</si>
  <si>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</si>
  <si>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</si>
  <si>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</si>
  <si>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</si>
  <si>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</si>
  <si>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</si>
  <si>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</si>
  <si>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</si>
  <si>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</si>
  <si>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</si>
  <si>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</si>
  <si>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</si>
  <si>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</si>
  <si>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</si>
  <si>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</si>
  <si>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</si>
  <si>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</si>
  <si>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</si>
  <si>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</si>
  <si>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</si>
  <si>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</si>
  <si>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</si>
  <si>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</si>
  <si>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</si>
  <si>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</si>
  <si>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</si>
  <si>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</si>
  <si>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</si>
  <si>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</si>
  <si>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</si>
  <si>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</si>
  <si>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</si>
  <si>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</si>
  <si>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</si>
  <si>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</si>
  <si>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</si>
  <si>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</si>
  <si>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</si>
  <si>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</si>
  <si>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</si>
  <si>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</si>
  <si>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</si>
  <si>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</si>
  <si>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</si>
  <si>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</si>
  <si>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</si>
  <si>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</si>
  <si>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</si>
  <si>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</si>
  <si>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</si>
  <si>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</si>
  <si>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</si>
  <si>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</si>
  <si>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</si>
  <si>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</si>
  <si>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</si>
  <si>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</si>
  <si>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</si>
  <si>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</si>
  <si>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</si>
  <si>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</si>
  <si>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</si>
  <si>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</si>
  <si>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</si>
  <si>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</si>
  <si>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</si>
  <si>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</si>
  <si>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</si>
  <si>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</si>
  <si>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</si>
  <si>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</si>
  <si>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</si>
  <si>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</si>
  <si>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</si>
  <si>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</si>
  <si>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</si>
  <si>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</si>
  <si>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</si>
  <si>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</si>
  <si>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</si>
  <si>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</si>
  <si>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</si>
  <si>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</si>
  <si>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</si>
  <si>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</si>
  <si>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</si>
  <si>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</si>
  <si>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</si>
  <si>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</si>
  <si>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</si>
  <si>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</si>
  <si>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</si>
  <si>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</si>
  <si>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</si>
  <si>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</si>
  <si>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</si>
  <si>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</si>
  <si>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</si>
  <si>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</si>
  <si>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</si>
  <si>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</si>
  <si>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</si>
  <si>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</si>
  <si>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</si>
  <si>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</si>
  <si>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</si>
  <si>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</si>
  <si>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</si>
  <si>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</si>
  <si>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</si>
  <si>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</si>
  <si>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</si>
  <si>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</si>
  <si>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</si>
  <si>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</si>
  <si>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</si>
  <si>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</si>
  <si>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</si>
  <si>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</si>
  <si>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</si>
  <si>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</si>
  <si>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</si>
  <si>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</si>
  <si>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</si>
  <si>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</si>
  <si>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</si>
  <si>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</si>
  <si>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</si>
  <si>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</si>
  <si>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</si>
  <si>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</si>
  <si>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</si>
  <si>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</si>
  <si>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</si>
  <si>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</si>
  <si>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</si>
  <si>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</si>
  <si>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</si>
  <si>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</si>
  <si>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</si>
  <si>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</si>
  <si>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</si>
  <si>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</si>
  <si>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</si>
  <si>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</si>
  <si>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</si>
  <si>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</si>
  <si>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</si>
  <si>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</si>
  <si>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</si>
  <si>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</si>
  <si>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</si>
  <si>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</si>
  <si>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</si>
  <si>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</si>
  <si>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</si>
  <si>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</si>
  <si>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</si>
  <si>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</si>
  <si>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</si>
  <si>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</si>
  <si>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</si>
  <si>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</si>
  <si>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</si>
  <si>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</si>
  <si>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</si>
  <si>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</si>
  <si>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</si>
  <si>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</si>
  <si>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</si>
  <si>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</si>
  <si>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</si>
  <si>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</si>
  <si>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</si>
  <si>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</si>
  <si>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</si>
  <si>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</si>
  <si>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</si>
  <si>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</si>
  <si>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</si>
  <si>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</si>
  <si>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</si>
  <si>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</si>
  <si>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</si>
  <si>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</si>
  <si>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</si>
  <si>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</si>
  <si>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</si>
  <si>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</si>
  <si>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</si>
  <si>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</si>
  <si>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</si>
  <si>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</si>
  <si>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</si>
  <si>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</si>
  <si>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</si>
  <si>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</si>
  <si>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</si>
  <si>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</si>
  <si>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</si>
  <si>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</si>
  <si>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</si>
  <si>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</si>
  <si>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</si>
  <si>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</si>
  <si>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</si>
  <si>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</si>
  <si>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</si>
  <si>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</si>
  <si>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</si>
  <si>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</si>
  <si>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</si>
  <si>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</si>
  <si>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</si>
  <si>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</si>
  <si>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</si>
  <si>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</si>
  <si>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</si>
  <si>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</si>
  <si>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</si>
  <si>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</si>
  <si>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</si>
  <si>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</si>
  <si>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</si>
  <si>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</si>
  <si>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</si>
  <si>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</si>
  <si>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</si>
  <si>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</si>
  <si>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</si>
  <si>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</si>
  <si>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</si>
  <si>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</si>
  <si>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</si>
  <si>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</si>
  <si>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</si>
  <si>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</si>
  <si>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</si>
  <si>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</si>
  <si>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</si>
  <si>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</si>
  <si>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</si>
  <si>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</si>
  <si>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</si>
  <si>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</si>
  <si>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</si>
  <si>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</si>
  <si>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</si>
  <si>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</si>
  <si>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</si>
  <si>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</si>
  <si>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</si>
  <si>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</si>
  <si>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</si>
  <si>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</si>
  <si>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</si>
  <si>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</si>
  <si>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</si>
  <si>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</si>
  <si>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</si>
  <si>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</si>
  <si>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</si>
  <si>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</si>
  <si>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</si>
  <si>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</si>
  <si>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</si>
  <si>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</si>
  <si>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</si>
  <si>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</si>
  <si>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</si>
  <si>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</si>
  <si>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</si>
  <si>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</si>
  <si>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</si>
  <si>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</si>
  <si>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</si>
  <si>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</si>
  <si>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</si>
  <si>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</si>
  <si>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</si>
  <si>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</si>
  <si>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</si>
  <si>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</si>
  <si>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</si>
  <si>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</si>
  <si>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</si>
  <si>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</si>
  <si>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</si>
  <si>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</si>
  <si>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</si>
  <si>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</si>
  <si>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</si>
  <si>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</si>
  <si>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</si>
  <si>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</si>
  <si>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</si>
  <si>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</si>
  <si>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</si>
  <si>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</si>
  <si>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</si>
  <si>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</si>
  <si>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</si>
  <si>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</si>
  <si>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</si>
  <si>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</si>
  <si>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</si>
  <si>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</si>
  <si>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</si>
  <si>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</si>
  <si>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</si>
  <si>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</si>
  <si>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</si>
  <si>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</si>
  <si>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</si>
  <si>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</si>
  <si>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</si>
  <si>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</si>
  <si>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</si>
  <si>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</si>
  <si>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</si>
  <si>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</si>
  <si>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</si>
  <si>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</si>
  <si>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</si>
  <si>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</si>
  <si>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</si>
  <si>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</si>
  <si>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</si>
  <si>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</si>
  <si>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</si>
  <si>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</si>
  <si>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</si>
  <si>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</si>
  <si>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</si>
  <si>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</si>
  <si>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</si>
  <si>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</si>
  <si>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</si>
  <si>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</si>
  <si>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</si>
  <si>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</si>
  <si>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</si>
  <si>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</si>
  <si>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</si>
  <si>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</si>
  <si>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</si>
  <si>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</si>
  <si>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</si>
  <si>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</si>
  <si>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</si>
  <si>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</si>
  <si>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</si>
  <si>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</si>
  <si>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</si>
  <si>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</si>
  <si>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</si>
  <si>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</si>
  <si>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</si>
  <si>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</si>
  <si>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</si>
  <si>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</si>
  <si>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</si>
  <si>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</si>
  <si>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</si>
  <si>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</si>
  <si>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</si>
  <si>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</si>
  <si>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</si>
  <si>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</si>
  <si>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</si>
  <si>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</si>
  <si>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</si>
  <si>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</si>
  <si>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</si>
  <si>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</si>
  <si>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</si>
  <si>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</si>
  <si>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</si>
  <si>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</si>
  <si>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</si>
  <si>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</si>
  <si>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</si>
  <si>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</si>
  <si>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</si>
  <si>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</si>
  <si>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</si>
  <si>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</si>
  <si>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</si>
  <si>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</si>
  <si>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</si>
  <si>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</si>
  <si>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</si>
  <si>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</si>
  <si>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</si>
  <si>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</si>
  <si>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</si>
  <si>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</si>
  <si>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</si>
  <si>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</si>
  <si>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</si>
  <si>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</si>
  <si>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</si>
  <si>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</si>
  <si>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</si>
  <si>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</si>
  <si>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</si>
  <si>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</si>
  <si>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</si>
  <si>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</si>
  <si>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</si>
  <si>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</si>
  <si>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</si>
  <si>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</si>
  <si>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</si>
  <si>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</si>
  <si>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</si>
  <si>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</si>
  <si>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</si>
  <si>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</si>
  <si>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</si>
  <si>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</si>
  <si>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</si>
  <si>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</si>
  <si>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</si>
  <si>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</si>
  <si>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</si>
  <si>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</si>
  <si>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</si>
  <si>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</si>
  <si>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</si>
  <si>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</si>
  <si>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</si>
  <si>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</si>
  <si>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</si>
  <si>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</si>
  <si>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</si>
  <si>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</si>
  <si>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</si>
  <si>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</si>
  <si>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</si>
  <si>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</si>
  <si>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</si>
  <si>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</si>
  <si>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</si>
  <si>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</si>
  <si>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</si>
  <si>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</si>
  <si>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</si>
  <si>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</si>
  <si>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</si>
  <si>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</si>
  <si>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</si>
  <si>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</si>
  <si>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</si>
  <si>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</si>
  <si>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</si>
  <si>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</si>
  <si>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</si>
  <si>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</si>
  <si>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</si>
  <si>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</si>
  <si>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</si>
  <si>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</si>
  <si>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</si>
  <si>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</si>
  <si>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</si>
  <si>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</si>
  <si>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</si>
  <si>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</si>
  <si>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</si>
  <si>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</si>
  <si>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</si>
  <si>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</si>
  <si>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</si>
  <si>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</si>
  <si>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</si>
  <si>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</si>
  <si>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</si>
  <si>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</si>
  <si>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</si>
  <si>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</si>
  <si>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</si>
  <si>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</si>
  <si>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</si>
  <si>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</si>
  <si>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</si>
  <si>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</si>
  <si>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</si>
  <si>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</si>
  <si>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</si>
  <si>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</si>
  <si>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</si>
  <si>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</si>
  <si>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</si>
  <si>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</si>
  <si>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</si>
  <si>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</si>
  <si>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</si>
  <si>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</si>
  <si>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</si>
  <si>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</si>
  <si>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</si>
  <si>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</si>
  <si>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</si>
  <si>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</si>
  <si>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</si>
  <si>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</si>
  <si>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</si>
  <si>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</si>
  <si>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</si>
  <si>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</si>
  <si>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</si>
  <si>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</si>
  <si>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</si>
  <si>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</si>
  <si>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</si>
  <si>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</si>
  <si>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</si>
  <si>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</si>
  <si>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</si>
  <si>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</si>
  <si>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</si>
  <si>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</si>
  <si>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</si>
  <si>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</si>
  <si>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</si>
  <si>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</si>
  <si>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</si>
  <si>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</si>
  <si>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</si>
  <si>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</si>
  <si>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</si>
  <si>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</si>
  <si>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</si>
  <si>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</si>
  <si>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</si>
  <si>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</si>
  <si>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</si>
  <si>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</si>
  <si>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</si>
  <si>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</si>
  <si>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</si>
  <si>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</si>
  <si>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</si>
  <si>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</si>
  <si>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</si>
  <si>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</si>
  <si>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</si>
  <si>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</si>
  <si>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</si>
  <si>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</si>
  <si>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</si>
  <si>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</si>
  <si>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</si>
  <si>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</si>
  <si>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</si>
  <si>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</si>
  <si>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</si>
  <si>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</si>
  <si>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</si>
  <si>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</si>
  <si>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</si>
  <si>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</si>
  <si>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</si>
  <si>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</si>
  <si>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</si>
  <si>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</si>
  <si>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</si>
  <si>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</si>
  <si>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</si>
  <si>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</si>
  <si>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</si>
  <si>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</si>
  <si>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</si>
  <si>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</si>
  <si>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</si>
  <si>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</si>
  <si>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</si>
  <si>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</si>
  <si>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</si>
  <si>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</si>
  <si>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</si>
  <si>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</si>
  <si>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</si>
  <si>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</si>
  <si>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</si>
  <si>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</si>
  <si>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</si>
  <si>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</si>
  <si>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</si>
  <si>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</si>
  <si>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</si>
  <si>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</si>
  <si>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</si>
  <si>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</si>
  <si>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</si>
  <si>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</si>
  <si>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</si>
  <si>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</si>
  <si>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</si>
  <si>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</si>
  <si>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</si>
  <si>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</si>
  <si>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</si>
  <si>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</si>
  <si>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</si>
  <si>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</si>
  <si>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</si>
  <si>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</si>
  <si>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</si>
  <si>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</si>
  <si>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</si>
  <si>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</si>
  <si>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</si>
  <si>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</si>
  <si>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</si>
  <si>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</si>
  <si>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</si>
  <si>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</si>
  <si>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</si>
  <si>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</si>
  <si>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</si>
  <si>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</si>
  <si>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</si>
  <si>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</si>
  <si>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</si>
  <si>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</si>
  <si>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</si>
  <si>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</si>
  <si>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</si>
  <si>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</si>
  <si>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</si>
  <si>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</si>
  <si>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</si>
  <si>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</si>
  <si>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</si>
  <si>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</si>
  <si>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</si>
  <si>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</si>
  <si>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</si>
  <si>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</si>
  <si>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</si>
  <si>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</si>
  <si>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</si>
  <si>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</si>
  <si>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</si>
  <si>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</si>
  <si>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</si>
  <si>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</si>
  <si>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</si>
  <si>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</si>
  <si>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</si>
  <si>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</si>
  <si>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</si>
  <si>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</si>
  <si>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</si>
  <si>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</si>
  <si>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</si>
  <si>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</si>
  <si>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</si>
  <si>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</si>
  <si>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</si>
  <si>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</si>
  <si>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</si>
  <si>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</si>
  <si>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</si>
  <si>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</si>
  <si>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</si>
  <si>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</si>
  <si>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</si>
  <si>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</si>
  <si>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</si>
  <si>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</si>
  <si>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</si>
  <si>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</si>
  <si>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</si>
  <si>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</si>
  <si>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</si>
  <si>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</si>
  <si>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</si>
  <si>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</si>
  <si>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</si>
  <si>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</si>
  <si>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</si>
  <si>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</si>
  <si>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</si>
  <si>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</si>
  <si>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</si>
  <si>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</si>
  <si>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</si>
  <si>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</si>
  <si>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</si>
  <si>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</si>
  <si>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</si>
  <si>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</si>
  <si>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</si>
  <si>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</si>
  <si>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</si>
  <si>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</si>
  <si>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</si>
  <si>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</si>
  <si>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</si>
  <si>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</si>
  <si>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</si>
  <si>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</si>
  <si>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</si>
  <si>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</si>
  <si>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</si>
  <si>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</si>
  <si>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</si>
  <si>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</si>
  <si>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</si>
  <si>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</si>
  <si>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</si>
  <si>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</si>
  <si>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</si>
  <si>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</si>
  <si>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</si>
  <si>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</si>
  <si>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</si>
  <si>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</si>
  <si>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</si>
  <si>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</si>
  <si>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</si>
  <si>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</si>
  <si>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</si>
  <si>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</si>
  <si>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</si>
  <si>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</si>
  <si>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</si>
  <si>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</si>
  <si>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</si>
  <si>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</si>
  <si>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</si>
  <si>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</si>
  <si>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</si>
  <si>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</si>
  <si>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</si>
  <si>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</si>
  <si>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</si>
  <si>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</si>
  <si>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</si>
  <si>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</si>
  <si>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</si>
  <si>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</si>
  <si>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</si>
  <si>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</si>
  <si>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</si>
  <si>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</si>
  <si>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</si>
  <si>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</si>
  <si>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</si>
  <si>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</si>
  <si>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</si>
  <si>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</si>
  <si>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</si>
  <si>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</si>
  <si>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</si>
  <si>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</si>
  <si>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</si>
  <si>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</si>
  <si>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</si>
  <si>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</si>
  <si>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</si>
  <si>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</si>
  <si>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</si>
  <si>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</si>
  <si>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</si>
  <si>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</si>
  <si>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</si>
  <si>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</si>
  <si>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</si>
  <si>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</si>
  <si>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</si>
  <si>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</si>
  <si>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</si>
  <si>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</si>
  <si>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</si>
  <si>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</si>
  <si>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</si>
  <si>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</si>
  <si>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</si>
  <si>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</si>
  <si>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</si>
  <si>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</si>
  <si>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</si>
  <si>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</si>
  <si>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</si>
  <si>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</si>
  <si>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</si>
  <si>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</si>
  <si>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</si>
  <si>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</si>
  <si>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</si>
  <si>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</si>
  <si>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</si>
  <si>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</si>
  <si>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</si>
  <si>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</si>
  <si>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</si>
  <si>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</si>
  <si>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</si>
  <si>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</si>
  <si>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</si>
  <si>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</si>
  <si>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</si>
  <si>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</si>
  <si>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</si>
  <si>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</si>
  <si>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</si>
  <si>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</si>
  <si>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</si>
  <si>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</si>
  <si>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</si>
  <si>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</si>
  <si>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</si>
  <si>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</si>
  <si>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</si>
  <si>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</si>
  <si>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</si>
  <si>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</si>
  <si>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</si>
  <si>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</si>
  <si>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</si>
  <si>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</si>
  <si>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</si>
  <si>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</si>
  <si>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</si>
  <si>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</si>
  <si>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</si>
  <si>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</si>
  <si>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</si>
  <si>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</si>
  <si>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</si>
  <si>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</si>
  <si>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</si>
  <si>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</si>
  <si>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</si>
  <si>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</si>
  <si>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</si>
  <si>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</si>
  <si>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</si>
  <si>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</si>
  <si>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</si>
  <si>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</si>
  <si>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</si>
  <si>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</si>
  <si>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</si>
  <si>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</si>
  <si>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</si>
  <si>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</si>
  <si>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</si>
  <si>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</si>
  <si>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</si>
  <si>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</si>
  <si>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</si>
  <si>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</si>
  <si>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</si>
  <si>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</si>
  <si>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</si>
  <si>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</si>
  <si>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</si>
  <si>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</si>
  <si>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</si>
  <si>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</si>
  <si>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</si>
  <si>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</si>
  <si>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</si>
  <si>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</si>
  <si>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</si>
  <si>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</si>
  <si>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</si>
  <si>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</si>
  <si>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</si>
  <si>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</si>
  <si>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</si>
  <si>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</si>
  <si>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</si>
  <si>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</si>
  <si>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</si>
  <si>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</si>
  <si>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</si>
  <si>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</si>
  <si>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</si>
  <si>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</si>
  <si>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</si>
  <si>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</si>
  <si>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</si>
  <si>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</si>
  <si>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</si>
  <si>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</si>
  <si>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</si>
  <si>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</si>
  <si>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</si>
  <si>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</si>
  <si>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</si>
  <si>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</si>
  <si>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</si>
  <si>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</si>
  <si>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</si>
  <si>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</si>
  <si>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</si>
  <si>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</si>
  <si>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</si>
  <si>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</si>
  <si>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</si>
  <si>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</si>
  <si>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</si>
  <si>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</si>
  <si>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</si>
  <si>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</si>
  <si>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</si>
  <si>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</si>
  <si>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</si>
  <si>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</si>
  <si>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</si>
  <si>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</si>
  <si>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</si>
  <si>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</si>
  <si>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</si>
  <si>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</si>
  <si>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</si>
  <si>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</si>
  <si>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</si>
  <si>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</si>
  <si>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</si>
  <si>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</si>
  <si>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</si>
  <si>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</si>
  <si>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</si>
  <si>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</si>
  <si>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</si>
  <si>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</si>
  <si>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</si>
  <si>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</si>
  <si>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</si>
  <si>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</si>
  <si>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</si>
  <si>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</si>
  <si>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</si>
  <si>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</si>
  <si>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</si>
  <si>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</si>
  <si>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</si>
  <si>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</si>
  <si>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商业6</t>
  </si>
  <si>
    <t>收益法-6号楼</t>
  </si>
  <si>
    <t>自定义容积率</t>
  </si>
  <si>
    <t>与级别开发程度一致</t>
  </si>
  <si>
    <t>中心城区以外</t>
  </si>
  <si>
    <t>成本法-6号楼</t>
  </si>
  <si>
    <t>独立商铺</t>
  </si>
  <si>
    <t>中心城区</t>
  </si>
  <si>
    <t>估价对象容积率</t>
  </si>
  <si>
    <t>地下</t>
  </si>
  <si>
    <t>成本法</t>
  </si>
  <si>
    <t>成本法</t>
    <phoneticPr fontId="16" type="noConversion"/>
  </si>
  <si>
    <t>收益法</t>
    <phoneticPr fontId="16" type="noConversion"/>
  </si>
  <si>
    <t>基准地价修正</t>
    <phoneticPr fontId="16" type="noConversion"/>
  </si>
  <si>
    <t>基准地价修正-商业</t>
  </si>
  <si>
    <t>基准地价修正-办公</t>
  </si>
  <si>
    <t>基准地价修正-办公</t>
    <phoneticPr fontId="16" type="noConversion"/>
  </si>
  <si>
    <t>基准地价修正-商业</t>
    <phoneticPr fontId="16" type="noConversion"/>
  </si>
  <si>
    <t>收益法-商业</t>
    <phoneticPr fontId="16" type="noConversion"/>
  </si>
  <si>
    <t>收益法-办公</t>
    <phoneticPr fontId="16" type="noConversion"/>
  </si>
  <si>
    <t>收益法-车库</t>
    <phoneticPr fontId="16" type="noConversion"/>
  </si>
  <si>
    <t>与级别开发程度不一致</t>
  </si>
  <si>
    <t>总价</t>
  </si>
  <si>
    <t>建筑面积</t>
  </si>
  <si>
    <t>总</t>
  </si>
  <si>
    <t>建安造价</t>
  </si>
  <si>
    <t>总造价</t>
  </si>
  <si>
    <t>主体（含屋面、外装）</t>
  </si>
  <si>
    <t>装修</t>
  </si>
  <si>
    <t>机电设备</t>
  </si>
  <si>
    <t>情况3</t>
  </si>
  <si>
    <t>自行开发建设</t>
  </si>
  <si>
    <t>非个人房产</t>
  </si>
  <si>
    <t>仅含出让金</t>
  </si>
  <si>
    <t>地上商业</t>
    <phoneticPr fontId="134" type="noConversion"/>
  </si>
  <si>
    <t>地下商业</t>
    <phoneticPr fontId="134" type="noConversion"/>
  </si>
  <si>
    <t>地上办公</t>
    <phoneticPr fontId="134" type="noConversion"/>
  </si>
  <si>
    <t>地下车库</t>
    <phoneticPr fontId="134" type="noConversion"/>
  </si>
  <si>
    <t>地下设备</t>
    <phoneticPr fontId="134" type="noConversion"/>
  </si>
  <si>
    <t>合同</t>
    <phoneticPr fontId="134" type="noConversion"/>
  </si>
  <si>
    <t>产证</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</si>
  <si>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</si>
  <si>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</si>
  <si>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r>
      <t>3</t>
    </r>
    <r>
      <rPr>
        <sz val="11"/>
        <color theme="1"/>
        <rFont val="宋体"/>
        <family val="3"/>
        <charset val="134"/>
        <scheme val="minor"/>
      </rPr>
      <t>#</t>
    </r>
    <phoneticPr fontId="134" type="noConversion"/>
  </si>
  <si>
    <t>地下商业</t>
    <phoneticPr fontId="134" type="noConversion"/>
  </si>
  <si>
    <t>地下车库</t>
    <phoneticPr fontId="134" type="noConversion"/>
  </si>
  <si>
    <t>地上设备</t>
    <phoneticPr fontId="134" type="noConversion"/>
  </si>
  <si>
    <t>地上商业</t>
    <phoneticPr fontId="134" type="noConversion"/>
  </si>
  <si>
    <t>地上办公</t>
    <phoneticPr fontId="134" type="noConversion"/>
  </si>
  <si>
    <t>押二</t>
  </si>
  <si>
    <t>工业项目</t>
  </si>
  <si>
    <t>工业</t>
    <phoneticPr fontId="7" type="noConversion"/>
  </si>
  <si>
    <t>收益法</t>
  </si>
  <si>
    <t>收益还原</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</si>
</sst>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6" fontId="47" fillId="5" borderId="1" xfId="0" applyNumberFormat="1" applyFont="1" applyFill="1" applyBorder="1" applyAlignment="1" applyProtection="1">
      <alignment vertical="center" wrapText="1"/>
      <protection locked="0"/>
    </xf>
    <xf numFmtId="0" fontId="95" fillId="0" borderId="0" xfId="0" applyFont="1">
      <alignment vertical="center"/>
    </xf>
    <xf numFmtId="179" fontId="98" fillId="18" borderId="23" xfId="0" applyNumberFormat="1" applyFont="1" applyFill="1" applyBorder="1" applyAlignment="1" applyProtection="1">
      <alignment horizontal="center" vertical="center"/>
      <protection locked="0"/>
    </xf>
    <xf numFmtId="179" fontId="99" fillId="5" borderId="23"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2"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181" fontId="99"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520</v>
      </c>
      <c r="B1" s="1191" t="s">
        <v>599</v>
      </c>
    </row>
    <row r="2" spans="1:2" s="1196" customFormat="1" ht="15" thickTop="1">
      <c r="A2" s="1194" t="s">
        <v>521</v>
      </c>
      <c r="B2" s="1195" t="str">
        <f>'预评函-封皮'!B37:I37</f>
        <v>北京市房地产抵押价值预评估</v>
      </c>
    </row>
    <row r="3" spans="1:2" s="1199" customFormat="1">
      <c r="A3" s="1197" t="s">
        <v>522</v>
      </c>
      <c r="B3" s="1198">
        <f>'预评函-封皮'!B40</f>
        <v>0</v>
      </c>
    </row>
    <row r="4" spans="1:2" s="1199" customFormat="1">
      <c r="A4" s="1197" t="s">
        <v>523</v>
      </c>
      <c r="B4" s="1198" t="str">
        <f>'预评函-封皮'!B46</f>
        <v>（注册号：0)、（注册号：0)</v>
      </c>
    </row>
    <row r="5" spans="1:2" s="1193" customFormat="1" ht="15" thickBot="1">
      <c r="A5" s="1200" t="s">
        <v>524</v>
      </c>
      <c r="B5" s="1201" t="str">
        <f>'预评函-封皮'!B49</f>
        <v>康正预评字号</v>
      </c>
    </row>
    <row r="6" spans="1:2" s="1196" customFormat="1" ht="15" thickTop="1">
      <c r="A6" s="1194" t="s">
        <v>525</v>
      </c>
      <c r="B6" s="1195" t="str">
        <f>'预评函-1'!A4</f>
        <v>受贵公司委托，我公司对北京市房地产抵押价值进行了预评估。</v>
      </c>
    </row>
    <row r="7" spans="1:2" s="1199" customFormat="1">
      <c r="A7" s="1197" t="s">
        <v>565</v>
      </c>
      <c r="B7" s="1198" t="str">
        <f>'预评函-1'!A7</f>
        <v>估价对象为北京市房地产，为所有。根据《国有土地使用证》[]，估价对象（分摊）出让国有建设用地使用权面积为73586.24平方米，建筑面积为20228.24平方米。</v>
      </c>
    </row>
    <row r="8" spans="1:2" s="1199" customFormat="1">
      <c r="A8" s="1197" t="s">
        <v>566</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567</v>
      </c>
      <c r="B9" s="1198" t="str">
        <f>'预评函-1'!A10</f>
        <v>估价对象为北京市房地产,属开发建设的工业项目，该项目尚在开发建设中。根据《国有土地使用证》[]，估价对象（分摊）出让国有建设用地使用权面积为73586.24平方米，规划建筑面积为20228.24平方米。</v>
      </c>
    </row>
    <row r="10" spans="1:2" s="1199" customFormat="1">
      <c r="A10" s="1197" t="s">
        <v>568</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526</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527</v>
      </c>
      <c r="B12" s="1198" t="str">
        <f>'预评函-1'!A15</f>
        <v>2024年6月24日</v>
      </c>
    </row>
    <row r="13" spans="1:2" s="1199" customFormat="1">
      <c r="A13" s="1197" t="s">
        <v>528</v>
      </c>
      <c r="B13" s="1198" t="str">
        <f>'预评函-1'!A18</f>
        <v>本次估价的“房地产价值”是指在正常市场情况下，在价值时点2024年6月24日，估价对象规划用途为，土地取得方式为出让，出让国有建设用地使用权剩余土地使用年限为，假定未设立法定优先受偿款下的房地产市场价值。</v>
      </c>
    </row>
    <row r="14" spans="1:2" s="1199" customFormat="1">
      <c r="A14" s="1197" t="s">
        <v>529</v>
      </c>
      <c r="B14" s="119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530</v>
      </c>
      <c r="B15" s="1198" t="str">
        <f>'预评函-1'!A20</f>
        <v>本次估价的“房地产抵押价值”是指估价对象在价值时点的“房地产价值”扣减估价师于价值时点所知悉的法定优先受偿款后的余额。</v>
      </c>
    </row>
    <row r="16" spans="1:2" s="1199" customFormat="1">
      <c r="A16" s="1197" t="s">
        <v>531</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532</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533</v>
      </c>
      <c r="B18" s="1201" t="str">
        <f>'预评函-1'!A24</f>
        <v>本次评估采用的主估价方法为成本法和收益法。</v>
      </c>
    </row>
    <row r="19" spans="1:2" s="1196" customFormat="1" ht="15" thickTop="1">
      <c r="A19" s="1194" t="s">
        <v>534</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535</v>
      </c>
      <c r="B20" s="1198">
        <f ca="1">'预评函-2'!D5</f>
        <v>16360</v>
      </c>
    </row>
    <row r="21" spans="1:2" s="1199" customFormat="1">
      <c r="A21" s="1197" t="s">
        <v>536</v>
      </c>
      <c r="B21" s="1198">
        <f ca="1">'预评函-2'!D7</f>
        <v>8088</v>
      </c>
    </row>
    <row r="22" spans="1:2" s="1199" customFormat="1">
      <c r="A22" s="1197" t="s">
        <v>537</v>
      </c>
      <c r="B22" s="1198" t="str">
        <f ca="1">'预评函-2'!D6</f>
        <v>壹亿陆仟叁佰陆拾万元整</v>
      </c>
    </row>
    <row r="23" spans="1:2" s="1199" customFormat="1">
      <c r="A23" s="1197" t="s">
        <v>588</v>
      </c>
      <c r="B23" s="1198" t="str">
        <f>'预评函-2'!B8</f>
        <v>2.估价师知悉的法定优先受偿款</v>
      </c>
    </row>
    <row r="24" spans="1:2" s="1199" customFormat="1">
      <c r="A24" s="1197" t="s">
        <v>594</v>
      </c>
      <c r="B24" s="1198">
        <f>'预评函-2'!D8</f>
        <v>0</v>
      </c>
    </row>
    <row r="25" spans="1:2" s="1199" customFormat="1">
      <c r="A25" s="1197" t="s">
        <v>538</v>
      </c>
      <c r="B25" s="1198" t="str">
        <f>'预评函-2'!D9</f>
        <v>零元整</v>
      </c>
    </row>
    <row r="26" spans="1:2" s="1199" customFormat="1">
      <c r="A26" s="1197" t="s">
        <v>539</v>
      </c>
      <c r="B26" s="1198">
        <f>'预评函-2'!D10</f>
        <v>0</v>
      </c>
    </row>
    <row r="27" spans="1:2" s="1199" customFormat="1">
      <c r="A27" s="1197" t="s">
        <v>540</v>
      </c>
      <c r="B27" s="1198">
        <f>'预评函-2'!D11</f>
        <v>0</v>
      </c>
    </row>
    <row r="28" spans="1:2" s="1199" customFormat="1">
      <c r="A28" s="1197" t="s">
        <v>541</v>
      </c>
      <c r="B28" s="1198">
        <f>'预评函-2'!D12</f>
        <v>0</v>
      </c>
    </row>
    <row r="29" spans="1:2" s="1199" customFormat="1">
      <c r="A29" s="1197" t="s">
        <v>592</v>
      </c>
      <c r="B29" s="1198" t="str">
        <f>'预评函-2'!B13</f>
        <v>3.房地产抵押价值</v>
      </c>
    </row>
    <row r="30" spans="1:2" s="1199" customFormat="1">
      <c r="A30" s="1197" t="s">
        <v>593</v>
      </c>
      <c r="B30" s="1198">
        <f ca="1">'预评函-2'!D13</f>
        <v>16360</v>
      </c>
    </row>
    <row r="31" spans="1:2" s="1199" customFormat="1">
      <c r="A31" s="1197" t="s">
        <v>575</v>
      </c>
      <c r="B31" s="1198">
        <f ca="1">'预评函-2'!D15</f>
        <v>8088</v>
      </c>
    </row>
    <row r="32" spans="1:2" s="1199" customFormat="1">
      <c r="A32" s="1197" t="s">
        <v>542</v>
      </c>
      <c r="B32" s="1198" t="str">
        <f ca="1">'预评函-2'!D14</f>
        <v>壹亿陆仟叁佰陆拾万元整</v>
      </c>
    </row>
    <row r="33" spans="1:2" s="1199" customFormat="1">
      <c r="A33" s="1197" t="s">
        <v>577</v>
      </c>
      <c r="B33" s="1198" t="str">
        <f>'预评函-2'!B16</f>
        <v>——</v>
      </c>
    </row>
    <row r="34" spans="1:2" s="1199" customFormat="1">
      <c r="A34" s="1197" t="s">
        <v>595</v>
      </c>
      <c r="B34" s="1198" t="str">
        <f>'预评函-2'!D16</f>
        <v>——</v>
      </c>
    </row>
    <row r="35" spans="1:2" s="1199" customFormat="1">
      <c r="A35" s="1197" t="s">
        <v>576</v>
      </c>
      <c r="B35" s="1198" t="str">
        <f>'预评函-2'!D18</f>
        <v>——</v>
      </c>
    </row>
    <row r="36" spans="1:2" s="1199" customFormat="1">
      <c r="A36" s="1197" t="s">
        <v>543</v>
      </c>
      <c r="B36" s="1198" t="e">
        <f>'预评函-2'!D17</f>
        <v>#VALUE!</v>
      </c>
    </row>
    <row r="37" spans="1:2" s="1199" customFormat="1">
      <c r="A37" s="1197" t="s">
        <v>578</v>
      </c>
      <c r="B37" s="1198" t="str">
        <f>'预评函-2'!B19</f>
        <v>4.抵押净值</v>
      </c>
    </row>
    <row r="38" spans="1:2" s="1199" customFormat="1">
      <c r="A38" s="1197" t="s">
        <v>596</v>
      </c>
      <c r="B38" s="1198">
        <f ca="1">'预评函-2'!D19</f>
        <v>15495</v>
      </c>
    </row>
    <row r="39" spans="1:2" s="1199" customFormat="1">
      <c r="A39" s="1197" t="s">
        <v>544</v>
      </c>
      <c r="B39" s="1198">
        <f ca="1">'预评函-2'!D21</f>
        <v>7660</v>
      </c>
    </row>
    <row r="40" spans="1:2" s="1199" customFormat="1">
      <c r="A40" s="1197" t="s">
        <v>545</v>
      </c>
      <c r="B40" s="1198" t="str">
        <f ca="1">'预评函-2'!D20</f>
        <v>壹亿伍仟肆佰玖拾伍万元整</v>
      </c>
    </row>
    <row r="41" spans="1:2" s="1199" customFormat="1">
      <c r="A41" s="1197" t="s">
        <v>591</v>
      </c>
      <c r="B41" s="1198" t="str">
        <f>'预评函-3'!A4</f>
        <v>北京市房地产</v>
      </c>
    </row>
    <row r="42" spans="1:2" s="1199" customFormat="1">
      <c r="A42" s="1197" t="s">
        <v>589</v>
      </c>
      <c r="B42" s="1198" t="str">
        <f>'预评函-3'!B2</f>
        <v>建筑面积</v>
      </c>
    </row>
    <row r="43" spans="1:2" s="1199" customFormat="1">
      <c r="A43" s="1197" t="s">
        <v>590</v>
      </c>
      <c r="B43" s="1198">
        <f>'预评函-3'!B4</f>
        <v>20228.239999999998</v>
      </c>
    </row>
    <row r="44" spans="1:2" s="1199" customFormat="1">
      <c r="A44" s="1197" t="s">
        <v>574</v>
      </c>
      <c r="B44" s="1198" t="str">
        <f>'预评函-3'!C2</f>
        <v>(分摊)土地面积</v>
      </c>
    </row>
    <row r="45" spans="1:2" s="1199" customFormat="1">
      <c r="A45" s="1197" t="s">
        <v>546</v>
      </c>
      <c r="B45" s="1198">
        <f>'预评函-3'!C4</f>
        <v>73586.240000000005</v>
      </c>
    </row>
    <row r="46" spans="1:2" s="1199" customFormat="1">
      <c r="A46" s="1197" t="s">
        <v>572</v>
      </c>
      <c r="B46" s="1198" t="str">
        <f>'预评函-3'!D2</f>
        <v>出让国有建设用地使用权价值</v>
      </c>
    </row>
    <row r="47" spans="1:2" s="1199" customFormat="1">
      <c r="A47" s="1197" t="s">
        <v>547</v>
      </c>
      <c r="B47" s="1198">
        <f ca="1">'预评函-3'!D4</f>
        <v>10814</v>
      </c>
    </row>
    <row r="48" spans="1:2" s="1199" customFormat="1">
      <c r="A48" s="1197" t="s">
        <v>548</v>
      </c>
      <c r="B48" s="1198">
        <f ca="1">'预评函-3'!E4</f>
        <v>5346</v>
      </c>
    </row>
    <row r="49" spans="1:2" s="1199" customFormat="1">
      <c r="A49" s="1197" t="s">
        <v>549</v>
      </c>
      <c r="B49" s="1198" t="str">
        <f ca="1">'预评函-3'!D5</f>
        <v>壹亿零捌佰壹拾肆万元整</v>
      </c>
    </row>
    <row r="50" spans="1:2" s="1199" customFormat="1">
      <c r="A50" s="1197" t="s">
        <v>573</v>
      </c>
      <c r="B50" s="1198" t="str">
        <f>'预评函-3'!F2</f>
        <v>在建建筑物价值</v>
      </c>
    </row>
    <row r="51" spans="1:2" s="1199" customFormat="1">
      <c r="A51" s="1197" t="s">
        <v>550</v>
      </c>
      <c r="B51" s="1198">
        <f ca="1">'预评函-3'!F4</f>
        <v>5546</v>
      </c>
    </row>
    <row r="52" spans="1:2" s="1199" customFormat="1">
      <c r="A52" s="1197" t="s">
        <v>551</v>
      </c>
      <c r="B52" s="1198">
        <f ca="1">'预评函-3'!G4</f>
        <v>2742</v>
      </c>
    </row>
    <row r="53" spans="1:2" s="1199" customFormat="1">
      <c r="A53" s="1197" t="s">
        <v>579</v>
      </c>
      <c r="B53" s="1198" t="str">
        <f ca="1">'预评函-3'!F5</f>
        <v>伍仟伍佰肆拾陆万元整</v>
      </c>
    </row>
    <row r="54" spans="1:2" s="1199" customFormat="1">
      <c r="A54" s="1197" t="s">
        <v>597</v>
      </c>
      <c r="B54" s="1198" t="str">
        <f>'预评函-3'!A8</f>
        <v>房地产抵押价值</v>
      </c>
    </row>
    <row r="55" spans="1:2" s="1199" customFormat="1">
      <c r="A55" s="1197" t="s">
        <v>580</v>
      </c>
      <c r="B55" s="1198" t="str">
        <f>'预评函-3'!A10</f>
        <v/>
      </c>
    </row>
    <row r="56" spans="1:2" s="1199" customFormat="1">
      <c r="A56" s="1197" t="s">
        <v>581</v>
      </c>
      <c r="B56" s="1198" t="str">
        <f>'预评函-3'!A12</f>
        <v>抵押净值</v>
      </c>
    </row>
    <row r="57" spans="1:2" s="1193" customFormat="1" ht="15" thickBot="1">
      <c r="A57" s="1200" t="s">
        <v>598</v>
      </c>
      <c r="B57" s="1201" t="str">
        <f>'预评函-3'!A6</f>
        <v>估价师知悉的法定优先受偿款</v>
      </c>
    </row>
    <row r="58" spans="1:2" s="1196" customFormat="1" ht="15" thickTop="1">
      <c r="A58" s="1194" t="s">
        <v>552</v>
      </c>
      <c r="B58" s="1195" t="str">
        <f>'预评函-4'!A12</f>
        <v>2.本《评估意见函》仅供金融机构进行内部审核使用，不做其他目的之用。</v>
      </c>
    </row>
    <row r="59" spans="1:2" s="1199" customFormat="1">
      <c r="A59" s="1197" t="s">
        <v>553</v>
      </c>
      <c r="B59" s="1198" t="str">
        <f>'预评函-4'!A13</f>
        <v>3.抵押双方在办理抵押登记手续时，应使用本公司出具的正式《房地产评估报告》，特提醒报告使用者注意。</v>
      </c>
    </row>
    <row r="60" spans="1:2" s="1199" customFormat="1">
      <c r="A60" s="1197" t="s">
        <v>554</v>
      </c>
      <c r="B60" s="1198" t="str">
        <f>'预评函-4'!A14</f>
        <v>4.本次评估估价师所知悉的法定优先受偿款情况说明如下：</v>
      </c>
    </row>
    <row r="61" spans="1:2" s="1199" customFormat="1">
      <c r="A61" s="1197" t="s">
        <v>555</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556</v>
      </c>
      <c r="B62" s="1198" t="str">
        <f>'预评函-4'!A16</f>
        <v>（2）根据《工程款支付情况说明》，截至价值时点，估价对象不存在应付未付工程款项。（只要没有施工方盖章的，均“设定”进行表述）</v>
      </c>
    </row>
    <row r="63" spans="1:2" s="1199" customFormat="1">
      <c r="A63" s="1197" t="s">
        <v>557</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569</v>
      </c>
      <c r="B64" s="1198" t="str">
        <f>'预评函-4'!A18</f>
        <v>故，本次评估不存在估价师知悉的法定优先受偿款</v>
      </c>
    </row>
    <row r="65" spans="1:2" s="1199" customFormat="1">
      <c r="A65" s="1197" t="s">
        <v>558</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559</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570</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571</v>
      </c>
      <c r="B68" s="1198" t="str">
        <f>'预评函-4'!A22</f>
        <v>8.其他需特殊说明事项：无（注意调整序号）</v>
      </c>
    </row>
    <row r="69" spans="1:2" s="1193" customFormat="1" ht="15" thickBot="1">
      <c r="A69" s="1200" t="s">
        <v>560</v>
      </c>
      <c r="B69" s="1202">
        <f>'预评函-4'!C31</f>
        <v>42551</v>
      </c>
    </row>
    <row r="70" spans="1:2" ht="15" thickTop="1">
      <c r="A70" s="1203" t="s">
        <v>561</v>
      </c>
      <c r="B70" s="1204">
        <f>'预评函-4'!A4</f>
        <v>0</v>
      </c>
    </row>
    <row r="71" spans="1:2">
      <c r="A71" s="1197" t="s">
        <v>562</v>
      </c>
      <c r="B71" s="1198">
        <f>'预评函-4'!B4</f>
        <v>0</v>
      </c>
    </row>
    <row r="72" spans="1:2">
      <c r="A72" s="1197" t="s">
        <v>563</v>
      </c>
      <c r="B72" s="1206">
        <f>'预评函-4'!A5</f>
        <v>0</v>
      </c>
    </row>
    <row r="73" spans="1:2" s="1193" customFormat="1" ht="15" thickBot="1">
      <c r="A73" s="1200" t="s">
        <v>564</v>
      </c>
      <c r="B73" s="1201">
        <f>'预评函-4'!B5</f>
        <v>0</v>
      </c>
    </row>
    <row r="74" spans="1:2" ht="15" thickTop="1">
      <c r="A74" s="1190" t="s">
        <v>600</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976</v>
      </c>
      <c r="C1" s="1537" t="s">
        <v>313</v>
      </c>
      <c r="D1" s="1539" t="s">
        <v>3348</v>
      </c>
      <c r="E1" s="1538" t="s">
        <v>977</v>
      </c>
      <c r="F1" s="1538" t="s">
        <v>978</v>
      </c>
      <c r="G1" s="1538" t="s">
        <v>979</v>
      </c>
      <c r="H1" s="1538" t="s">
        <v>980</v>
      </c>
      <c r="I1" s="1538" t="s">
        <v>981</v>
      </c>
      <c r="J1" s="1538" t="s">
        <v>982</v>
      </c>
      <c r="K1" s="1538" t="s">
        <v>983</v>
      </c>
      <c r="L1" s="1538" t="s">
        <v>984</v>
      </c>
      <c r="M1" s="1538" t="s">
        <v>985</v>
      </c>
      <c r="N1" s="1538" t="s">
        <v>986</v>
      </c>
      <c r="O1" s="1538" t="s">
        <v>987</v>
      </c>
      <c r="P1" s="1539" t="s">
        <v>309</v>
      </c>
      <c r="Q1" s="1539" t="s">
        <v>446</v>
      </c>
      <c r="R1" s="1538" t="s">
        <v>440</v>
      </c>
      <c r="S1" s="1538" t="s">
        <v>988</v>
      </c>
      <c r="T1" s="1540" t="s">
        <v>989</v>
      </c>
      <c r="U1" s="1538" t="s">
        <v>990</v>
      </c>
      <c r="V1" s="1538" t="s">
        <v>991</v>
      </c>
      <c r="W1" s="1538" t="s">
        <v>311</v>
      </c>
    </row>
    <row r="2" spans="1:23">
      <c r="A2" s="1542" t="s">
        <v>19</v>
      </c>
      <c r="B2" s="1545" t="s">
        <v>3460</v>
      </c>
      <c r="C2" s="1543" t="s">
        <v>314</v>
      </c>
      <c r="D2" s="1544" t="s">
        <v>992</v>
      </c>
      <c r="E2" s="1544" t="s">
        <v>993</v>
      </c>
      <c r="F2" s="1544" t="s">
        <v>994</v>
      </c>
      <c r="G2" s="1544">
        <v>20</v>
      </c>
      <c r="H2" s="1544" t="s">
        <v>994</v>
      </c>
      <c r="I2" s="1544" t="s">
        <v>3334</v>
      </c>
      <c r="J2" s="1544" t="s">
        <v>995</v>
      </c>
      <c r="K2" s="1544" t="s">
        <v>996</v>
      </c>
      <c r="L2" s="1544" t="s">
        <v>996</v>
      </c>
      <c r="M2" s="1544" t="s">
        <v>996</v>
      </c>
      <c r="N2" s="1544" t="s">
        <v>996</v>
      </c>
      <c r="O2" s="1544" t="s">
        <v>996</v>
      </c>
      <c r="P2" s="1544" t="s">
        <v>996</v>
      </c>
      <c r="Q2" s="1544" t="s">
        <v>996</v>
      </c>
      <c r="R2" s="1544" t="s">
        <v>442</v>
      </c>
      <c r="S2" s="1544" t="s">
        <v>996</v>
      </c>
      <c r="T2" s="1544" t="s">
        <v>997</v>
      </c>
      <c r="U2" s="1544" t="s">
        <v>996</v>
      </c>
      <c r="V2" s="1544" t="s">
        <v>998</v>
      </c>
      <c r="W2" s="1544" t="s">
        <v>996</v>
      </c>
    </row>
    <row r="3" spans="1:23">
      <c r="A3" s="1542" t="s">
        <v>999</v>
      </c>
      <c r="B3" s="1545" t="s">
        <v>447</v>
      </c>
      <c r="C3" s="1546" t="s">
        <v>315</v>
      </c>
      <c r="D3" s="1544" t="s">
        <v>1000</v>
      </c>
      <c r="E3" s="1544" t="s">
        <v>13</v>
      </c>
      <c r="F3" s="1544" t="s">
        <v>1001</v>
      </c>
      <c r="G3" s="1544">
        <v>40</v>
      </c>
      <c r="H3" s="1544" t="s">
        <v>1001</v>
      </c>
      <c r="I3" s="1544" t="s">
        <v>3335</v>
      </c>
      <c r="J3" s="1544" t="s">
        <v>1002</v>
      </c>
      <c r="K3" s="1544" t="s">
        <v>1003</v>
      </c>
      <c r="L3" s="1544" t="s">
        <v>1003</v>
      </c>
      <c r="M3" s="1544" t="s">
        <v>1003</v>
      </c>
      <c r="N3" s="1544" t="s">
        <v>1003</v>
      </c>
      <c r="O3" s="1544" t="s">
        <v>1003</v>
      </c>
      <c r="P3" s="1544" t="s">
        <v>1003</v>
      </c>
      <c r="Q3" s="1544" t="s">
        <v>1003</v>
      </c>
      <c r="R3" s="1544" t="s">
        <v>441</v>
      </c>
      <c r="S3" s="1544" t="s">
        <v>1003</v>
      </c>
      <c r="T3" s="1544" t="s">
        <v>1004</v>
      </c>
      <c r="U3" s="1544" t="s">
        <v>1003</v>
      </c>
      <c r="V3" s="1544" t="s">
        <v>1005</v>
      </c>
      <c r="W3" s="1544" t="s">
        <v>1003</v>
      </c>
    </row>
    <row r="4" spans="1:23">
      <c r="A4" s="1542" t="s">
        <v>1006</v>
      </c>
      <c r="B4" s="1542" t="s">
        <v>1007</v>
      </c>
      <c r="C4" s="1543" t="s">
        <v>316</v>
      </c>
      <c r="D4" s="1544" t="s">
        <v>388</v>
      </c>
      <c r="E4" s="1544" t="s">
        <v>1008</v>
      </c>
      <c r="F4" s="1544" t="s">
        <v>1009</v>
      </c>
      <c r="G4" s="1544">
        <v>50</v>
      </c>
      <c r="H4" s="1544" t="s">
        <v>1009</v>
      </c>
      <c r="I4" s="1544" t="s">
        <v>3336</v>
      </c>
      <c r="K4" s="1544" t="s">
        <v>1010</v>
      </c>
      <c r="L4" s="1544" t="s">
        <v>1010</v>
      </c>
      <c r="M4" s="1544" t="s">
        <v>1010</v>
      </c>
      <c r="N4" s="1544" t="s">
        <v>1010</v>
      </c>
      <c r="O4" s="1544" t="s">
        <v>1010</v>
      </c>
      <c r="P4" s="1544" t="s">
        <v>1010</v>
      </c>
      <c r="Q4" s="1544" t="s">
        <v>1010</v>
      </c>
      <c r="R4" s="1544" t="s">
        <v>443</v>
      </c>
      <c r="S4" s="1544" t="s">
        <v>1010</v>
      </c>
      <c r="T4" s="1544" t="s">
        <v>1011</v>
      </c>
      <c r="U4" s="1544" t="s">
        <v>1010</v>
      </c>
      <c r="W4" s="1544" t="s">
        <v>1010</v>
      </c>
    </row>
    <row r="5" spans="1:23">
      <c r="A5" s="1542" t="s">
        <v>1012</v>
      </c>
      <c r="B5" s="1545" t="s">
        <v>3461</v>
      </c>
      <c r="C5" s="1543" t="s">
        <v>317</v>
      </c>
      <c r="F5" s="1544" t="s">
        <v>1013</v>
      </c>
      <c r="G5" s="1544">
        <v>70</v>
      </c>
      <c r="H5" s="1544" t="s">
        <v>1014</v>
      </c>
      <c r="I5" s="1544" t="s">
        <v>3337</v>
      </c>
      <c r="K5" s="1544" t="s">
        <v>1015</v>
      </c>
      <c r="L5" s="1544" t="s">
        <v>1015</v>
      </c>
      <c r="M5" s="1544" t="s">
        <v>1015</v>
      </c>
      <c r="N5" s="1544" t="s">
        <v>1015</v>
      </c>
      <c r="O5" s="1544" t="s">
        <v>1015</v>
      </c>
      <c r="P5" s="1544" t="s">
        <v>1015</v>
      </c>
      <c r="Q5" s="1544" t="s">
        <v>1015</v>
      </c>
      <c r="R5" s="1544" t="s">
        <v>444</v>
      </c>
      <c r="S5" s="1544" t="s">
        <v>1015</v>
      </c>
      <c r="T5" s="1544" t="s">
        <v>1016</v>
      </c>
      <c r="U5" s="1544" t="s">
        <v>1015</v>
      </c>
      <c r="W5" s="1544" t="s">
        <v>1015</v>
      </c>
    </row>
    <row r="6" spans="1:23">
      <c r="A6" s="1542" t="s">
        <v>1017</v>
      </c>
      <c r="B6" s="1545" t="s">
        <v>448</v>
      </c>
      <c r="C6" s="1548" t="s">
        <v>24</v>
      </c>
      <c r="F6" s="1544" t="s">
        <v>1014</v>
      </c>
      <c r="H6" s="1544" t="s">
        <v>1018</v>
      </c>
      <c r="I6" s="1544" t="s">
        <v>3338</v>
      </c>
      <c r="K6" s="1544" t="s">
        <v>1019</v>
      </c>
      <c r="L6" s="1544" t="s">
        <v>1019</v>
      </c>
      <c r="M6" s="1544" t="s">
        <v>1019</v>
      </c>
      <c r="N6" s="1544" t="s">
        <v>1019</v>
      </c>
      <c r="O6" s="1544" t="s">
        <v>1019</v>
      </c>
      <c r="P6" s="1544" t="s">
        <v>1019</v>
      </c>
      <c r="Q6" s="1544" t="s">
        <v>1019</v>
      </c>
      <c r="R6" s="1544" t="s">
        <v>445</v>
      </c>
      <c r="S6" s="1544" t="s">
        <v>1019</v>
      </c>
      <c r="T6" s="1544"/>
      <c r="U6" s="1544" t="s">
        <v>1019</v>
      </c>
      <c r="W6" s="1544" t="s">
        <v>1019</v>
      </c>
    </row>
    <row r="7" spans="1:23">
      <c r="A7" s="1542" t="s">
        <v>1020</v>
      </c>
      <c r="B7" s="1545" t="s">
        <v>449</v>
      </c>
      <c r="C7" s="1543" t="s">
        <v>25</v>
      </c>
      <c r="F7" s="1544" t="s">
        <v>1021</v>
      </c>
      <c r="H7" s="1544" t="s">
        <v>1022</v>
      </c>
      <c r="I7" s="1544" t="s">
        <v>3339</v>
      </c>
    </row>
    <row r="8" spans="1:23">
      <c r="A8" s="1542" t="s">
        <v>1023</v>
      </c>
      <c r="B8" s="1542" t="s">
        <v>1024</v>
      </c>
      <c r="C8" s="1543" t="s">
        <v>318</v>
      </c>
      <c r="F8" s="1544" t="s">
        <v>1025</v>
      </c>
      <c r="H8" s="1544" t="s">
        <v>2576</v>
      </c>
      <c r="I8" s="1544" t="s">
        <v>3340</v>
      </c>
    </row>
    <row r="9" spans="1:23">
      <c r="A9" s="1542" t="s">
        <v>1026</v>
      </c>
      <c r="B9" s="1542" t="s">
        <v>1027</v>
      </c>
      <c r="C9" s="1543" t="s">
        <v>319</v>
      </c>
      <c r="F9" s="1544" t="s">
        <v>1028</v>
      </c>
      <c r="H9" s="1544"/>
      <c r="I9" s="1547" t="s">
        <v>3341</v>
      </c>
    </row>
    <row r="10" spans="1:23">
      <c r="A10" s="1542" t="s">
        <v>1029</v>
      </c>
      <c r="B10" s="1542" t="s">
        <v>1030</v>
      </c>
      <c r="C10" s="1543" t="s">
        <v>320</v>
      </c>
      <c r="F10" s="1544" t="s">
        <v>2577</v>
      </c>
      <c r="I10" s="1547" t="s">
        <v>3342</v>
      </c>
    </row>
    <row r="11" spans="1:23">
      <c r="A11" s="1542" t="s">
        <v>1031</v>
      </c>
      <c r="B11" s="1542" t="s">
        <v>1032</v>
      </c>
      <c r="C11" s="1543" t="s">
        <v>321</v>
      </c>
      <c r="F11" s="1544" t="s">
        <v>13</v>
      </c>
      <c r="I11" s="1547" t="s">
        <v>3343</v>
      </c>
    </row>
    <row r="12" spans="1:23">
      <c r="A12" s="1542" t="s">
        <v>1033</v>
      </c>
      <c r="B12" s="1542" t="s">
        <v>1034</v>
      </c>
      <c r="C12" s="1543" t="s">
        <v>322</v>
      </c>
      <c r="I12" s="1547" t="s">
        <v>3344</v>
      </c>
    </row>
    <row r="13" spans="1:23">
      <c r="A13" s="1542" t="s">
        <v>1035</v>
      </c>
      <c r="B13" s="1542" t="s">
        <v>1036</v>
      </c>
      <c r="C13" s="1543" t="s">
        <v>323</v>
      </c>
      <c r="I13" s="1547" t="s">
        <v>3345</v>
      </c>
    </row>
    <row r="14" spans="1:23">
      <c r="A14" s="1542" t="s">
        <v>1037</v>
      </c>
      <c r="B14" s="1542" t="s">
        <v>1038</v>
      </c>
      <c r="C14" s="1544" t="s">
        <v>13</v>
      </c>
      <c r="I14" s="1547" t="s">
        <v>3346</v>
      </c>
    </row>
    <row r="15" spans="1:23">
      <c r="A15" s="1542" t="s">
        <v>1039</v>
      </c>
      <c r="B15" s="1542" t="s">
        <v>1040</v>
      </c>
      <c r="C15" s="1543"/>
      <c r="I15" s="1547" t="s">
        <v>3347</v>
      </c>
    </row>
    <row r="16" spans="1:23">
      <c r="A16" s="1542" t="s">
        <v>1041</v>
      </c>
      <c r="B16" s="1542" t="s">
        <v>3462</v>
      </c>
      <c r="C16" s="1543"/>
    </row>
    <row r="17" spans="1:3">
      <c r="A17" s="1542" t="s">
        <v>1042</v>
      </c>
      <c r="B17" s="1542" t="s">
        <v>2288</v>
      </c>
      <c r="C17" s="1543"/>
    </row>
    <row r="18" spans="1:3">
      <c r="A18" s="1542" t="s">
        <v>1043</v>
      </c>
      <c r="B18" s="1542" t="s">
        <v>2432</v>
      </c>
      <c r="C18" s="1543"/>
    </row>
    <row r="19" spans="1:3">
      <c r="A19" s="1542" t="s">
        <v>1044</v>
      </c>
      <c r="B19" s="1542" t="s">
        <v>3466</v>
      </c>
      <c r="C19" s="1543"/>
    </row>
    <row r="20" spans="1:3">
      <c r="A20" s="1542" t="s">
        <v>1045</v>
      </c>
      <c r="B20" s="1542" t="s">
        <v>3465</v>
      </c>
      <c r="C20" s="1543"/>
    </row>
    <row r="21" spans="1:3">
      <c r="A21" s="1542" t="s">
        <v>1046</v>
      </c>
      <c r="B21" s="1542" t="s">
        <v>3467</v>
      </c>
      <c r="C21" s="1543"/>
    </row>
    <row r="22" spans="1:3">
      <c r="A22" s="1542" t="s">
        <v>1047</v>
      </c>
      <c r="B22" s="1542" t="s">
        <v>3468</v>
      </c>
      <c r="C22" s="1543"/>
    </row>
    <row r="23" spans="1:3">
      <c r="A23" s="1542" t="s">
        <v>1048</v>
      </c>
      <c r="B23" s="1542" t="s">
        <v>3469</v>
      </c>
      <c r="C23" s="1543"/>
    </row>
    <row r="24" spans="1:3">
      <c r="A24" s="1542" t="s">
        <v>1049</v>
      </c>
      <c r="B24" s="1542" t="s">
        <v>312</v>
      </c>
      <c r="C24" s="1543"/>
    </row>
    <row r="25" spans="1:3">
      <c r="A25" s="1542" t="s">
        <v>1050</v>
      </c>
      <c r="B25" s="1542" t="s">
        <v>312</v>
      </c>
      <c r="C25" s="1543"/>
    </row>
    <row r="26" spans="1:3">
      <c r="A26" s="1542" t="s">
        <v>1051</v>
      </c>
      <c r="B26" s="1542" t="s">
        <v>312</v>
      </c>
      <c r="C26" s="1543"/>
    </row>
    <row r="27" spans="1:3">
      <c r="A27" s="1542" t="s">
        <v>312</v>
      </c>
      <c r="B27" s="1542" t="s">
        <v>312</v>
      </c>
      <c r="C27" s="1543"/>
    </row>
    <row r="28" spans="1:3">
      <c r="A28" s="1542" t="s">
        <v>312</v>
      </c>
      <c r="B28" s="1542" t="s">
        <v>312</v>
      </c>
      <c r="C28" s="1543"/>
    </row>
    <row r="29" spans="1:3">
      <c r="A29" s="1542" t="s">
        <v>312</v>
      </c>
      <c r="B29" s="1542" t="s">
        <v>312</v>
      </c>
      <c r="C29" s="1543"/>
    </row>
    <row r="30" spans="1:3">
      <c r="A30" s="1542" t="s">
        <v>312</v>
      </c>
      <c r="B30" s="1542" t="s">
        <v>312</v>
      </c>
      <c r="C30" s="1543"/>
    </row>
    <row r="31" spans="1:3">
      <c r="A31" s="1542" t="s">
        <v>312</v>
      </c>
      <c r="B31" s="1542" t="s">
        <v>312</v>
      </c>
      <c r="C31" s="1543"/>
    </row>
    <row r="32" spans="1:3">
      <c r="A32" s="1542" t="s">
        <v>312</v>
      </c>
      <c r="B32" s="1542" t="s">
        <v>312</v>
      </c>
      <c r="C32" s="1543"/>
    </row>
    <row r="33" spans="1:3">
      <c r="A33" s="1542" t="s">
        <v>312</v>
      </c>
      <c r="B33" s="1542" t="s">
        <v>312</v>
      </c>
      <c r="C33" s="1543"/>
    </row>
    <row r="34" spans="1:3">
      <c r="A34" s="1542" t="s">
        <v>312</v>
      </c>
      <c r="B34" s="1542" t="s">
        <v>312</v>
      </c>
      <c r="C34" s="1543"/>
    </row>
    <row r="35" spans="1:3">
      <c r="A35" s="1542" t="s">
        <v>312</v>
      </c>
      <c r="B35" s="1542" t="s">
        <v>312</v>
      </c>
      <c r="C35" s="1543"/>
    </row>
    <row r="36" spans="1:3">
      <c r="A36" s="1542" t="s">
        <v>312</v>
      </c>
      <c r="B36" s="1542" t="s">
        <v>312</v>
      </c>
      <c r="C36" s="1543"/>
    </row>
    <row r="37" spans="1:3">
      <c r="A37" s="1542" t="s">
        <v>312</v>
      </c>
      <c r="B37" s="1542" t="s">
        <v>312</v>
      </c>
      <c r="C37" s="1543"/>
    </row>
    <row r="38" spans="1:3">
      <c r="A38" s="1542" t="s">
        <v>312</v>
      </c>
      <c r="B38" s="1542" t="s">
        <v>312</v>
      </c>
      <c r="C38" s="1543"/>
    </row>
    <row r="39" spans="1:3">
      <c r="A39" s="1542" t="s">
        <v>312</v>
      </c>
      <c r="B39" s="1542" t="s">
        <v>312</v>
      </c>
      <c r="C39" s="1543"/>
    </row>
    <row r="40" spans="1:3">
      <c r="A40" s="1542" t="s">
        <v>312</v>
      </c>
      <c r="B40" s="1542" t="s">
        <v>312</v>
      </c>
      <c r="C40" s="1543"/>
    </row>
    <row r="41" spans="1:3">
      <c r="A41" s="1542" t="s">
        <v>312</v>
      </c>
      <c r="B41" s="1542" t="s">
        <v>312</v>
      </c>
      <c r="C41" s="1543"/>
    </row>
    <row r="42" spans="1:3">
      <c r="A42" s="1542" t="s">
        <v>312</v>
      </c>
      <c r="B42" s="1542" t="s">
        <v>312</v>
      </c>
      <c r="C42" s="1543"/>
    </row>
    <row r="43" spans="1:3">
      <c r="A43" s="1542" t="s">
        <v>312</v>
      </c>
      <c r="B43" s="1542" t="s">
        <v>312</v>
      </c>
      <c r="C43" s="1543"/>
    </row>
    <row r="44" spans="1:3">
      <c r="A44" s="1542" t="s">
        <v>312</v>
      </c>
      <c r="B44" s="1542" t="s">
        <v>312</v>
      </c>
      <c r="C44" s="1543"/>
    </row>
    <row r="45" spans="1:3">
      <c r="A45" s="1542" t="s">
        <v>312</v>
      </c>
      <c r="B45" s="1542" t="s">
        <v>312</v>
      </c>
      <c r="C45" s="1543"/>
    </row>
    <row r="46" spans="1:3">
      <c r="A46" s="1542" t="s">
        <v>312</v>
      </c>
      <c r="B46" s="1542" t="s">
        <v>312</v>
      </c>
      <c r="C46" s="1543"/>
    </row>
    <row r="47" spans="1:3">
      <c r="A47" s="1542" t="s">
        <v>312</v>
      </c>
      <c r="B47" s="1542" t="s">
        <v>312</v>
      </c>
      <c r="C47" s="1543"/>
    </row>
    <row r="48" spans="1:3">
      <c r="A48" s="1542" t="s">
        <v>312</v>
      </c>
      <c r="B48" s="1542" t="s">
        <v>312</v>
      </c>
      <c r="C48" s="1543"/>
    </row>
    <row r="49" spans="1:4">
      <c r="A49" s="1542" t="s">
        <v>312</v>
      </c>
      <c r="B49" s="1542" t="s">
        <v>312</v>
      </c>
      <c r="C49" s="1543"/>
    </row>
    <row r="50" spans="1:4">
      <c r="A50" s="1542" t="s">
        <v>312</v>
      </c>
      <c r="B50" s="1542" t="s">
        <v>312</v>
      </c>
      <c r="C50" s="1543"/>
    </row>
    <row r="51" spans="1:4">
      <c r="A51" s="1549" t="s">
        <v>377</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585</v>
      </c>
    </row>
    <row r="52" spans="1:4">
      <c r="A52" s="1549" t="s">
        <v>378</v>
      </c>
      <c r="B52" s="1549" t="s">
        <v>379</v>
      </c>
      <c r="C52" s="1547" t="s">
        <v>380</v>
      </c>
      <c r="D52" s="1547" t="s">
        <v>381</v>
      </c>
    </row>
    <row r="53" spans="1:4">
      <c r="A53" s="3557" t="s">
        <v>382</v>
      </c>
      <c r="B53" s="1550" t="s">
        <v>383</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7"/>
      <c r="B54" s="1550" t="s">
        <v>384</v>
      </c>
      <c r="C54" s="1547" t="s">
        <v>582</v>
      </c>
    </row>
    <row r="55" spans="1:4">
      <c r="A55" s="3557"/>
      <c r="B55" s="1550" t="s">
        <v>385</v>
      </c>
      <c r="C55" s="1547" t="s">
        <v>583</v>
      </c>
    </row>
    <row r="56" spans="1:4">
      <c r="A56" s="3557"/>
      <c r="B56" s="1550" t="s">
        <v>386</v>
      </c>
      <c r="C56" s="1547" t="s">
        <v>587</v>
      </c>
    </row>
    <row r="57" spans="1:4">
      <c r="A57" s="3557"/>
      <c r="B57" s="1550" t="s">
        <v>387</v>
      </c>
      <c r="C57" s="1547" t="s">
        <v>584</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2" t="s">
        <v>2592</v>
      </c>
      <c r="J1" s="3222"/>
      <c r="K1" s="3222"/>
      <c r="L1" s="3222"/>
      <c r="M1" s="3222"/>
      <c r="N1" s="3433"/>
      <c r="O1" s="3433"/>
      <c r="P1" s="3433"/>
      <c r="Q1" s="3433"/>
      <c r="R1" s="3433"/>
    </row>
    <row r="2" spans="1:18">
      <c r="A2" s="3013"/>
      <c r="B2" s="3014"/>
      <c r="C2" s="3014"/>
      <c r="D2" s="3014"/>
      <c r="E2" s="3014"/>
      <c r="F2" s="3015"/>
      <c r="I2" s="3558" t="s">
        <v>2579</v>
      </c>
      <c r="J2" s="3558"/>
      <c r="K2" s="3558"/>
      <c r="L2" s="3558"/>
      <c r="M2" s="3558"/>
      <c r="N2" s="3558"/>
      <c r="O2" s="3558"/>
      <c r="P2" s="3558"/>
      <c r="Q2" s="3558"/>
      <c r="R2" s="3558"/>
    </row>
    <row r="3" spans="1:18">
      <c r="A3" s="3016" t="s">
        <v>2500</v>
      </c>
      <c r="B3" s="3017">
        <f>项目基本情况!D3</f>
        <v>45467</v>
      </c>
      <c r="C3" s="3019"/>
      <c r="D3" s="3019"/>
      <c r="E3" s="3019"/>
      <c r="F3" s="3015"/>
      <c r="I3" s="3434"/>
      <c r="J3" s="3434" t="s">
        <v>2583</v>
      </c>
      <c r="K3" s="3434" t="s">
        <v>2584</v>
      </c>
      <c r="L3" s="3434" t="s">
        <v>2585</v>
      </c>
      <c r="M3" s="3434" t="s">
        <v>2586</v>
      </c>
      <c r="N3" s="3435" t="s">
        <v>2587</v>
      </c>
      <c r="O3" s="3435" t="s">
        <v>2588</v>
      </c>
      <c r="P3" s="3435" t="s">
        <v>2589</v>
      </c>
      <c r="Q3" s="3435" t="s">
        <v>2590</v>
      </c>
      <c r="R3" s="3435" t="s">
        <v>2591</v>
      </c>
    </row>
    <row r="4" spans="1:18">
      <c r="A4" s="3016" t="s">
        <v>2501</v>
      </c>
      <c r="B4" s="3019" t="s">
        <v>2502</v>
      </c>
      <c r="C4" s="3019" t="s">
        <v>2503</v>
      </c>
      <c r="D4" s="3019" t="s">
        <v>2504</v>
      </c>
      <c r="E4" s="3019" t="s">
        <v>2505</v>
      </c>
      <c r="F4" s="3015"/>
      <c r="I4" s="3434" t="s">
        <v>2580</v>
      </c>
      <c r="J4" s="3434">
        <v>80</v>
      </c>
      <c r="K4" s="3434">
        <v>70</v>
      </c>
      <c r="L4" s="3434">
        <v>20</v>
      </c>
      <c r="M4" s="3434">
        <v>30</v>
      </c>
      <c r="N4" s="3019">
        <v>45</v>
      </c>
      <c r="O4" s="3019">
        <v>60</v>
      </c>
      <c r="P4" s="3019">
        <v>50</v>
      </c>
      <c r="Q4" s="3019">
        <v>20</v>
      </c>
      <c r="R4" s="3019">
        <v>375</v>
      </c>
    </row>
    <row r="5" spans="1:18">
      <c r="A5" s="3020">
        <v>40</v>
      </c>
      <c r="B5" s="3017">
        <v>46375</v>
      </c>
      <c r="C5" s="3019">
        <f>ROUNDDOWN(MIN((B5-B3)/365,A5),2)</f>
        <v>2.48</v>
      </c>
      <c r="D5" s="3021">
        <f>IF(ISERROR(ROUND(POWER(1+E5,A5-C5)*(POWER(1+E5,C5)-1)/(POWER(1+E5,A5)-1),3)),0,ROUND(POWER(1+E5,A5-C5)*(POWER(1+E5,C5)-1)/(POWER(1+E5,A5)-1),4))</f>
        <v>0.1171</v>
      </c>
      <c r="E5" s="3022">
        <v>0.04</v>
      </c>
      <c r="F5" s="3015"/>
      <c r="I5" s="3434" t="s">
        <v>2581</v>
      </c>
      <c r="J5" s="3434">
        <v>70</v>
      </c>
      <c r="K5" s="3434">
        <v>60</v>
      </c>
      <c r="L5" s="3434">
        <v>15</v>
      </c>
      <c r="M5" s="3434">
        <v>25</v>
      </c>
      <c r="N5" s="3019">
        <v>40</v>
      </c>
      <c r="O5" s="3019">
        <v>50</v>
      </c>
      <c r="P5" s="3019">
        <v>40</v>
      </c>
      <c r="Q5" s="3019">
        <v>15</v>
      </c>
      <c r="R5" s="3019">
        <v>315</v>
      </c>
    </row>
    <row r="6" spans="1:18">
      <c r="A6" s="3020">
        <v>50</v>
      </c>
      <c r="B6" s="3017">
        <v>50028</v>
      </c>
      <c r="C6" s="3019">
        <f>ROUNDDOWN(MIN((B6-B3)/365,A6),2)</f>
        <v>12.49</v>
      </c>
      <c r="D6" s="3021">
        <f>IF(ISERROR(ROUND(POWER(1+E6,A6-C6)*(POWER(1+E6,C6)-1)/(POWER(1+E6,A6)-1),3)),0,ROUND(POWER(1+E6,A6-C6)*(POWER(1+E6,C6)-1)/(POWER(1+E6,A6)-1),4))</f>
        <v>0.45069999999999999</v>
      </c>
      <c r="E6" s="3022">
        <v>0.04</v>
      </c>
      <c r="F6" s="3015"/>
      <c r="I6" s="3434" t="s">
        <v>2582</v>
      </c>
      <c r="J6" s="3434">
        <v>60</v>
      </c>
      <c r="K6" s="3434">
        <v>50</v>
      </c>
      <c r="L6" s="3434">
        <v>10</v>
      </c>
      <c r="M6" s="3434">
        <v>20</v>
      </c>
      <c r="N6" s="3019">
        <v>35</v>
      </c>
      <c r="O6" s="3019">
        <v>40</v>
      </c>
      <c r="P6" s="3019">
        <v>30</v>
      </c>
      <c r="Q6" s="3019">
        <v>10</v>
      </c>
      <c r="R6" s="3019">
        <v>255</v>
      </c>
    </row>
    <row r="7" spans="1:18">
      <c r="A7" s="3020">
        <v>70</v>
      </c>
      <c r="B7" s="3017">
        <v>57333</v>
      </c>
      <c r="C7" s="3019">
        <f>ROUNDDOWN(MIN((B7-B3)/365,A7),2)</f>
        <v>32.5</v>
      </c>
      <c r="D7" s="3021">
        <f>IF(ISERROR(ROUND(POWER(1+E7,A7-C7)*(POWER(1+E7,C7)-1)/(POWER(1+E7,A7)-1),3)),0,ROUND(POWER(1+E7,A7-C7)*(POWER(1+E7,C7)-1)/(POWER(1+E7,A7)-1),4))</f>
        <v>0.76990000000000003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67" t="str">
        <f>IF(B10="北京市","北京市",C10)&amp;F10&amp;IF(结果表!G1="在建","出让国有建设用地使用权及在建建筑物",IF(结果表!G1="土地","出让国有建设用地使用权",))&amp;B9&amp;"预评估"</f>
        <v>北京市房地产抵押价值预评估</v>
      </c>
      <c r="C1" s="3568"/>
      <c r="D1" s="3568"/>
      <c r="E1" s="3568"/>
      <c r="F1" s="3568"/>
      <c r="G1" s="3568"/>
      <c r="H1" s="3568"/>
      <c r="I1" s="3569"/>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c r="C3" s="2370" t="s">
        <v>2166</v>
      </c>
      <c r="D3" s="2369">
        <v>45467</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3373</v>
      </c>
      <c r="C8" s="2386"/>
      <c r="D8" s="3570" t="s">
        <v>2172</v>
      </c>
      <c r="E8" s="2387" t="s">
        <v>3377</v>
      </c>
      <c r="F8" s="2388"/>
      <c r="G8" s="2659"/>
      <c r="H8" s="2659"/>
      <c r="I8" s="2659"/>
      <c r="J8" s="2435"/>
      <c r="K8" s="2610"/>
      <c r="L8" s="2609"/>
      <c r="M8" s="2609"/>
      <c r="N8" s="2435"/>
      <c r="O8" s="2446"/>
      <c r="P8" s="2435"/>
      <c r="Q8" s="2435"/>
      <c r="R8" s="2435"/>
    </row>
    <row r="9" spans="1:30" ht="13.5" thickBot="1">
      <c r="A9" s="2389" t="s">
        <v>2173</v>
      </c>
      <c r="B9" s="2390" t="s">
        <v>3377</v>
      </c>
      <c r="C9" s="2391"/>
      <c r="D9" s="3571"/>
      <c r="E9" s="2390" t="s">
        <v>586</v>
      </c>
      <c r="F9" s="2392"/>
      <c r="G9" s="2661"/>
      <c r="H9" s="2661"/>
      <c r="I9" s="2661"/>
      <c r="J9" s="2435"/>
      <c r="K9" s="2612"/>
      <c r="L9" s="2609"/>
      <c r="M9" s="2609"/>
      <c r="N9" s="2435"/>
      <c r="O9" s="2446"/>
      <c r="P9" s="2435"/>
      <c r="Q9" s="2435"/>
      <c r="R9" s="2435"/>
    </row>
    <row r="10" spans="1:30" ht="13.5" thickTop="1">
      <c r="A10" s="2393" t="s">
        <v>2174</v>
      </c>
      <c r="B10" s="2394" t="s">
        <v>3378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3435</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3330</v>
      </c>
      <c r="B13" s="2403" t="s">
        <v>2185</v>
      </c>
      <c r="C13" s="852"/>
      <c r="D13" s="852"/>
      <c r="E13" s="852"/>
      <c r="F13" s="852"/>
      <c r="G13" s="852"/>
      <c r="H13" s="852">
        <v>56926</v>
      </c>
      <c r="I13" s="852"/>
      <c r="J13" s="3058"/>
      <c r="K13" s="2609"/>
      <c r="L13" s="2609"/>
      <c r="M13" s="2435"/>
      <c r="N13" s="2446"/>
      <c r="O13" s="2435"/>
      <c r="P13" s="2435"/>
      <c r="Q13" s="2435"/>
      <c r="AD13" s="1741"/>
    </row>
    <row r="14" spans="1:30">
      <c r="A14" s="1077"/>
      <c r="B14" s="2403" t="s">
        <v>2186</v>
      </c>
      <c r="C14" s="2404"/>
      <c r="D14" s="2404"/>
      <c r="E14" s="2404"/>
      <c r="F14" s="2404"/>
      <c r="G14" s="2404"/>
      <c r="H14" s="2404">
        <v>50</v>
      </c>
      <c r="I14" s="2404"/>
      <c r="J14" s="3059"/>
      <c r="K14" s="2609"/>
      <c r="L14" s="2609"/>
      <c r="M14" s="2435"/>
      <c r="N14" s="2446"/>
      <c r="O14" s="2435"/>
      <c r="P14" s="2435"/>
      <c r="Q14" s="2435"/>
      <c r="AD14" s="1741"/>
    </row>
    <row r="15" spans="1:30">
      <c r="A15" s="320"/>
      <c r="B15" s="2405" t="s">
        <v>2187</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31.39</v>
      </c>
      <c r="I15" s="2406" t="str">
        <f>IF(A13="出让",IF(I13="","",ROUNDDOWN(MIN((I13-$D$3)/365,I14),2)),I14)</f>
        <v/>
      </c>
      <c r="J15" s="3060"/>
      <c r="K15" s="2447"/>
      <c r="L15" s="2447"/>
      <c r="M15" s="2505"/>
      <c r="N15" s="2447"/>
      <c r="O15" s="2505"/>
      <c r="P15" s="2435"/>
      <c r="Q15" s="2435"/>
      <c r="AD15" s="1741"/>
    </row>
    <row r="16" spans="1:30">
      <c r="A16" s="2396" t="s">
        <v>2188</v>
      </c>
      <c r="B16" s="3577"/>
      <c r="C16" s="3578"/>
      <c r="D16" s="3579"/>
      <c r="E16" s="2409" t="s">
        <v>2189</v>
      </c>
      <c r="F16" s="3580"/>
      <c r="G16" s="3581"/>
      <c r="H16" s="3581"/>
      <c r="I16" s="3582"/>
      <c r="J16" s="2435"/>
      <c r="K16" s="2613"/>
      <c r="L16" s="2447"/>
      <c r="M16" s="2447"/>
      <c r="N16" s="2505"/>
      <c r="O16" s="2447"/>
      <c r="P16" s="2505"/>
      <c r="Q16" s="2435"/>
      <c r="R16" s="2435"/>
    </row>
    <row r="17" spans="1:28">
      <c r="A17" s="313" t="s">
        <v>2190</v>
      </c>
      <c r="B17" s="302" t="s">
        <v>2191</v>
      </c>
      <c r="C17" s="8">
        <f>'数据-汇总表'!E3</f>
        <v>20228.239999999998</v>
      </c>
      <c r="D17" s="2318" t="s">
        <v>2192</v>
      </c>
      <c r="E17" s="3583" t="s">
        <v>2193</v>
      </c>
      <c r="F17" s="3584"/>
      <c r="G17" s="3584"/>
      <c r="H17" s="3584"/>
      <c r="I17" s="3585"/>
      <c r="J17" s="2435"/>
      <c r="K17" s="2614"/>
      <c r="L17" s="2447"/>
      <c r="M17" s="2447"/>
      <c r="N17" s="2505"/>
      <c r="O17" s="2447"/>
      <c r="P17" s="2505"/>
      <c r="Q17" s="2435"/>
      <c r="R17" s="2435"/>
      <c r="S17" s="2435"/>
      <c r="T17" s="2435"/>
      <c r="U17" s="2435"/>
      <c r="V17" s="2435"/>
    </row>
    <row r="18" spans="1:28" ht="24.75" thickBot="1">
      <c r="A18" s="2410" t="s">
        <v>2194</v>
      </c>
      <c r="B18" s="1086" t="s">
        <v>2195</v>
      </c>
      <c r="C18" s="2411">
        <f>'数据-汇总表'!D3</f>
        <v>73586.240000000005</v>
      </c>
      <c r="D18" s="1088" t="s">
        <v>2196</v>
      </c>
      <c r="E18" s="3586" t="s">
        <v>2197</v>
      </c>
      <c r="F18" s="3587"/>
      <c r="G18" s="3587"/>
      <c r="H18" s="3587"/>
      <c r="I18" s="3588"/>
      <c r="J18" s="2435"/>
      <c r="K18" s="2614"/>
      <c r="L18" s="2447"/>
      <c r="M18" s="2447"/>
      <c r="N18" s="2505"/>
      <c r="O18" s="2447"/>
      <c r="P18" s="2505"/>
      <c r="Q18" s="2435"/>
      <c r="R18" s="2435"/>
      <c r="S18" s="2435"/>
      <c r="T18" s="2435"/>
      <c r="U18" s="2435"/>
      <c r="V18" s="2435"/>
    </row>
    <row r="19" spans="1:28" ht="37.5" thickTop="1" thickBot="1">
      <c r="A19" s="327" t="s">
        <v>1052</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73" t="s">
        <v>2201</v>
      </c>
      <c r="C20" s="3574"/>
      <c r="D20" s="3575" t="s">
        <v>2202</v>
      </c>
      <c r="E20" s="3576"/>
      <c r="F20" s="2643" t="s">
        <v>1053</v>
      </c>
      <c r="G20" s="2660"/>
      <c r="H20" s="2660"/>
      <c r="I20" s="2660"/>
      <c r="J20" s="2435"/>
      <c r="K20" s="3572"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1054</v>
      </c>
      <c r="D21" s="1564" t="s">
        <v>2205</v>
      </c>
      <c r="E21" s="2631" t="s">
        <v>1054</v>
      </c>
      <c r="F21" s="2644"/>
      <c r="G21" s="2660"/>
      <c r="H21" s="2660"/>
      <c r="I21" s="2660"/>
      <c r="J21" s="2435"/>
      <c r="K21" s="357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1055</v>
      </c>
      <c r="D22" s="2659"/>
      <c r="E22" s="2659"/>
      <c r="F22" s="2659"/>
      <c r="G22" s="2660"/>
      <c r="H22" s="2660"/>
      <c r="I22" s="2660"/>
      <c r="J22" s="2435"/>
      <c r="K22" s="357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1056</v>
      </c>
      <c r="C24" s="2637"/>
      <c r="D24" s="2633" t="s">
        <v>1056</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1057</v>
      </c>
      <c r="C25" s="2637"/>
      <c r="D25" s="2633" t="s">
        <v>1057</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1058</v>
      </c>
      <c r="C26" s="2641"/>
      <c r="D26" s="2639" t="s">
        <v>1058</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60" t="s">
        <v>2209</v>
      </c>
      <c r="B27" s="320" t="s">
        <v>2210</v>
      </c>
      <c r="C27" s="2412" t="s">
        <v>3499</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60"/>
      <c r="B28" s="302"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60"/>
      <c r="B29" s="302"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61"/>
      <c r="B30" s="302" t="s">
        <v>2213</v>
      </c>
      <c r="C30" s="3562"/>
      <c r="D30" s="3563"/>
      <c r="E30" s="2660"/>
      <c r="F30" s="2660"/>
      <c r="G30" s="2660"/>
      <c r="H30" s="2660"/>
      <c r="I30" s="2660"/>
      <c r="J30" s="2435"/>
      <c r="K30" s="2612"/>
      <c r="L30" s="2609"/>
      <c r="M30" s="2609"/>
      <c r="N30" s="2435"/>
      <c r="O30" s="2446"/>
      <c r="P30" s="2435"/>
      <c r="Q30" s="2435"/>
      <c r="R30" s="2435"/>
      <c r="S30" s="2435"/>
      <c r="T30" s="2435"/>
      <c r="U30" s="2435"/>
      <c r="V30" s="2435"/>
    </row>
    <row r="31" spans="1:28">
      <c r="A31" s="3564"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65"/>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65"/>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t="s">
        <v>3382</v>
      </c>
      <c r="C34" s="2022" t="s">
        <v>3383</v>
      </c>
      <c r="D34" s="2022" t="s">
        <v>3384</v>
      </c>
      <c r="E34" s="2022" t="s">
        <v>3385</v>
      </c>
      <c r="F34" s="2022" t="s">
        <v>3386</v>
      </c>
      <c r="G34" s="2022"/>
      <c r="H34" s="2022"/>
      <c r="I34" s="2660"/>
      <c r="J34" s="2435"/>
      <c r="K34" s="2423">
        <f>COUNTIF(B34:H34,"——")</f>
        <v>0</v>
      </c>
      <c r="L34" s="323" t="s">
        <v>2216</v>
      </c>
      <c r="M34" s="323" t="s">
        <v>2217</v>
      </c>
      <c r="N34" s="323" t="s">
        <v>2218</v>
      </c>
      <c r="O34" s="323" t="s">
        <v>2219</v>
      </c>
      <c r="P34" s="323" t="s">
        <v>2220</v>
      </c>
      <c r="Q34" s="323" t="s">
        <v>2221</v>
      </c>
      <c r="R34" s="323" t="s">
        <v>2222</v>
      </c>
      <c r="S34" s="3559" t="s">
        <v>2223</v>
      </c>
      <c r="T34" s="2424" t="str">
        <f>NUMBERSTRING(7-K34,1)&amp;"通"</f>
        <v>七通</v>
      </c>
      <c r="U34" s="2435"/>
      <c r="V34" s="2435"/>
    </row>
    <row r="35" spans="1:30">
      <c r="A35" s="2425"/>
      <c r="B35" s="3566" t="s">
        <v>2224</v>
      </c>
      <c r="C35" s="3566"/>
      <c r="D35" s="3566"/>
      <c r="E35" s="3566"/>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59"/>
      <c r="T35" s="329" t="str">
        <f>IF(T34="一通",L35,IF(T34="二通",M35,IF(T34="三通",N35,IF(T34="四通",O35,IF(T34="五通",P35,IF(T34="六通",Q35,R35))))))</f>
        <v>通路、通电、通讯、通上水、通下水、、</v>
      </c>
      <c r="U35" s="2435"/>
      <c r="V35" s="2435"/>
    </row>
    <row r="36" spans="1:30">
      <c r="A36" s="2426"/>
      <c r="B36" s="663" t="s">
        <v>2180</v>
      </c>
      <c r="C36" s="663" t="s">
        <v>2181</v>
      </c>
      <c r="D36" s="663" t="s">
        <v>2179</v>
      </c>
      <c r="E36" s="663"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c r="C37" s="2427"/>
      <c r="D37" s="2427"/>
      <c r="E37" s="2427" t="s">
        <v>306</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c r="C38" s="2428"/>
      <c r="D38" s="2428"/>
      <c r="E38" s="2428" t="s">
        <v>295</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1059</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1060</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1061</v>
      </c>
      <c r="B2" s="8" t="s">
        <v>1062</v>
      </c>
      <c r="C2" s="8" t="s">
        <v>1063</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1064</v>
      </c>
      <c r="AZ2" s="1045" t="s">
        <v>1065</v>
      </c>
      <c r="BA2" s="8" t="s">
        <v>1066</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73586.240000000005</v>
      </c>
      <c r="B3" s="11">
        <f>IF(C3="否",G5-AT5,G5)</f>
        <v>20228.239999999998</v>
      </c>
      <c r="C3" s="1576" t="s">
        <v>1067</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1068</v>
      </c>
      <c r="B5" s="1343"/>
      <c r="C5" s="1343"/>
      <c r="D5" s="1345"/>
      <c r="E5" s="13" t="s">
        <v>0</v>
      </c>
      <c r="F5" s="13">
        <f>SUM(F13:F587)</f>
        <v>0</v>
      </c>
      <c r="G5" s="13">
        <f>SUM(G13:G587)</f>
        <v>20228.239999999998</v>
      </c>
      <c r="H5" s="13">
        <f t="shared" ref="H5:AT5" si="0">SUM(H13:H656)</f>
        <v>20228.239999999998</v>
      </c>
      <c r="I5" s="13">
        <f t="shared" si="0"/>
        <v>19982.989999999998</v>
      </c>
      <c r="J5" s="13">
        <f t="shared" si="0"/>
        <v>0</v>
      </c>
      <c r="K5" s="13">
        <f t="shared" si="0"/>
        <v>245.25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1068</v>
      </c>
      <c r="AW5" s="1343"/>
      <c r="AX5" s="1343"/>
      <c r="AY5" s="14" t="s">
        <v>2</v>
      </c>
      <c r="AZ5" s="15">
        <f t="shared" ref="AZ5:BT5" si="1">SUM(AZ13:AZ656)</f>
        <v>20228.239999999998</v>
      </c>
      <c r="BA5" s="15">
        <f t="shared" si="1"/>
        <v>20228.239999999998</v>
      </c>
      <c r="BB5" s="15">
        <f t="shared" si="1"/>
        <v>19982.989999999998</v>
      </c>
      <c r="BC5" s="15">
        <f t="shared" si="1"/>
        <v>245.25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1069</v>
      </c>
      <c r="B6" s="1582"/>
      <c r="C6" s="1582"/>
      <c r="D6" s="1583"/>
      <c r="E6" s="13">
        <f>H6+AC6+AT6</f>
        <v>73586.240000000005</v>
      </c>
      <c r="F6" s="13" t="s">
        <v>0</v>
      </c>
      <c r="G6" s="13" t="s">
        <v>1</v>
      </c>
      <c r="H6" s="17">
        <f>SUMIF(I$12:AB$12,"总值",I6:AB6)</f>
        <v>73586.240000000005</v>
      </c>
      <c r="I6" s="13">
        <f t="shared" ref="I6:AB6" si="2">ROUND($A$3*I5/$B$3,2)</f>
        <v>72694.070000000007</v>
      </c>
      <c r="J6" s="13">
        <f t="shared" si="2"/>
        <v>0</v>
      </c>
      <c r="K6" s="13">
        <f t="shared" si="2"/>
        <v>892.17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1069</v>
      </c>
      <c r="AW6" s="1582"/>
      <c r="AX6" s="1582"/>
      <c r="AY6" s="18">
        <f>IF(AY3&gt;0,AY3,ROUND($A$3*AZ5/$B$3,2))</f>
        <v>73586.240000000005</v>
      </c>
      <c r="AZ6" s="13" t="s">
        <v>2</v>
      </c>
      <c r="BA6" s="13">
        <f>ROUND($AY$6*BA5/$AZ$5,2)</f>
        <v>73586.240000000005</v>
      </c>
      <c r="BB6" s="13">
        <f>ROUND($AY$6*BB5/$AZ$5,2)</f>
        <v>72694.070000000007</v>
      </c>
      <c r="BC6" s="13">
        <f t="shared" ref="BC6:BH6" si="4">ROUND($AY$6*BC5/$AZ$5,2)</f>
        <v>892.17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20" t="s">
        <v>1078</v>
      </c>
      <c r="AW7" s="1574" t="s">
        <v>1079</v>
      </c>
      <c r="AX7" s="20"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5" t="s">
        <v>1083</v>
      </c>
      <c r="AD8" s="1596"/>
      <c r="AE8" s="1588"/>
      <c r="AF8" s="1356"/>
      <c r="AG8" s="1356"/>
      <c r="AH8" s="1356"/>
      <c r="AI8" s="1356"/>
      <c r="AJ8" s="1356"/>
      <c r="AK8" s="1356"/>
      <c r="AL8" s="1356"/>
      <c r="AM8" s="1356"/>
      <c r="AN8" s="1356"/>
      <c r="AO8" s="1356"/>
      <c r="AP8" s="1356"/>
      <c r="AQ8" s="1356"/>
      <c r="AR8" s="1356"/>
      <c r="AS8" s="1356"/>
      <c r="AT8" s="1066" t="s">
        <v>1084</v>
      </c>
      <c r="AU8" s="1590" t="s">
        <v>1085</v>
      </c>
      <c r="AV8" s="1066"/>
      <c r="AW8" s="1573"/>
      <c r="AX8" s="1066"/>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1088</v>
      </c>
      <c r="I9" s="1599" t="s">
        <v>3388</v>
      </c>
      <c r="J9" s="805"/>
      <c r="K9" s="1599" t="s">
        <v>3458</v>
      </c>
      <c r="L9" s="805"/>
      <c r="M9" s="1599"/>
      <c r="N9" s="805"/>
      <c r="O9" s="1599"/>
      <c r="P9" s="805"/>
      <c r="Q9" s="1599"/>
      <c r="R9" s="805"/>
      <c r="S9" s="1599"/>
      <c r="T9" s="805"/>
      <c r="U9" s="1599"/>
      <c r="V9" s="805"/>
      <c r="W9" s="1599"/>
      <c r="X9" s="1600"/>
      <c r="Y9" s="1599"/>
      <c r="Z9" s="805"/>
      <c r="AA9" s="1599"/>
      <c r="AB9" s="805"/>
      <c r="AC9" s="1591" t="s">
        <v>1088</v>
      </c>
      <c r="AD9" s="12" t="s">
        <v>1089</v>
      </c>
      <c r="AE9" s="1072"/>
      <c r="AF9" s="12" t="s">
        <v>1090</v>
      </c>
      <c r="AG9" s="1072"/>
      <c r="AH9" s="12" t="s">
        <v>1089</v>
      </c>
      <c r="AI9" s="1072"/>
      <c r="AJ9" s="12" t="s">
        <v>1090</v>
      </c>
      <c r="AK9" s="1072"/>
      <c r="AL9" s="12" t="s">
        <v>1089</v>
      </c>
      <c r="AM9" s="1072"/>
      <c r="AN9" s="12" t="s">
        <v>1090</v>
      </c>
      <c r="AO9" s="1072"/>
      <c r="AP9" s="12" t="s">
        <v>1089</v>
      </c>
      <c r="AQ9" s="1072"/>
      <c r="AR9" s="12" t="s">
        <v>1090</v>
      </c>
      <c r="AS9" s="1601"/>
      <c r="AT9" s="1590"/>
      <c r="AU9" s="1590" t="s">
        <v>1091</v>
      </c>
      <c r="AV9" s="1066"/>
      <c r="AW9" s="1573"/>
      <c r="AX9" s="1066"/>
      <c r="AY9" s="25"/>
      <c r="AZ9" s="25" t="s">
        <v>1081</v>
      </c>
      <c r="BA9" s="1602" t="s">
        <v>1092</v>
      </c>
      <c r="BB9" s="1603"/>
      <c r="BC9" s="1084"/>
      <c r="BD9" s="1084"/>
      <c r="BE9" s="1084"/>
      <c r="BF9" s="1084"/>
      <c r="BG9" s="1084"/>
      <c r="BH9" s="1084"/>
      <c r="BI9" s="1084"/>
      <c r="BJ9" s="1084"/>
      <c r="BK9" s="1604"/>
      <c r="BL9" s="12" t="s">
        <v>1093</v>
      </c>
      <c r="BM9" s="1356"/>
      <c r="BN9" s="1593"/>
      <c r="BO9" s="1356"/>
      <c r="BP9" s="1356"/>
      <c r="BQ9" s="1356"/>
      <c r="BR9" s="1356"/>
      <c r="BS9" s="1356"/>
      <c r="BT9" s="23"/>
    </row>
    <row r="10" spans="1:72" s="1597" customFormat="1" ht="12.75">
      <c r="A10" s="1590"/>
      <c r="B10" s="1590"/>
      <c r="C10" s="1590"/>
      <c r="D10" s="1590"/>
      <c r="E10" s="1590"/>
      <c r="F10" s="1590"/>
      <c r="G10" s="1066"/>
      <c r="H10" s="25"/>
      <c r="I10" s="1599" t="s">
        <v>3</v>
      </c>
      <c r="J10" s="805"/>
      <c r="K10" s="1605" t="s">
        <v>3</v>
      </c>
      <c r="L10" s="805"/>
      <c r="M10" s="1605"/>
      <c r="N10" s="805"/>
      <c r="O10" s="1605"/>
      <c r="P10" s="805"/>
      <c r="Q10" s="1605"/>
      <c r="R10" s="805"/>
      <c r="S10" s="1605"/>
      <c r="T10" s="805"/>
      <c r="U10" s="1605"/>
      <c r="V10" s="805"/>
      <c r="W10" s="1605"/>
      <c r="X10" s="805"/>
      <c r="Y10" s="1605"/>
      <c r="Z10" s="805"/>
      <c r="AA10" s="1605"/>
      <c r="AB10" s="805"/>
      <c r="AC10" s="1066"/>
      <c r="AD10" s="12" t="s">
        <v>1094</v>
      </c>
      <c r="AE10" s="1606"/>
      <c r="AF10" s="12" t="s">
        <v>1094</v>
      </c>
      <c r="AG10" s="1606"/>
      <c r="AH10" s="12" t="s">
        <v>1095</v>
      </c>
      <c r="AI10" s="1606"/>
      <c r="AJ10" s="12" t="s">
        <v>1095</v>
      </c>
      <c r="AK10" s="1606"/>
      <c r="AL10" s="12" t="s">
        <v>1096</v>
      </c>
      <c r="AM10" s="1072"/>
      <c r="AN10" s="12" t="s">
        <v>1096</v>
      </c>
      <c r="AO10" s="1072"/>
      <c r="AP10" s="12" t="s">
        <v>1097</v>
      </c>
      <c r="AQ10" s="1072"/>
      <c r="AR10" s="12" t="s">
        <v>1097</v>
      </c>
      <c r="AS10" s="1072"/>
      <c r="AT10" s="1590"/>
      <c r="AU10" s="1590"/>
      <c r="AV10" s="1066"/>
      <c r="AW10" s="1573"/>
      <c r="AX10" s="1066"/>
      <c r="AY10" s="25"/>
      <c r="AZ10" s="25"/>
      <c r="BA10" s="1607" t="s">
        <v>1088</v>
      </c>
      <c r="BB10" s="1608" t="str">
        <f>I9</f>
        <v>地上</v>
      </c>
      <c r="BC10" s="26" t="str">
        <f>K9</f>
        <v>地下</v>
      </c>
      <c r="BD10" s="26">
        <f>M9</f>
        <v>0</v>
      </c>
      <c r="BE10" s="26">
        <f>O9</f>
        <v>0</v>
      </c>
      <c r="BF10" s="26">
        <f>Q9</f>
        <v>0</v>
      </c>
      <c r="BG10" s="26">
        <f>S9</f>
        <v>0</v>
      </c>
      <c r="BH10" s="26">
        <f>U9</f>
        <v>0</v>
      </c>
      <c r="BI10" s="26">
        <f>W9</f>
        <v>0</v>
      </c>
      <c r="BJ10" s="26">
        <f>Y9</f>
        <v>0</v>
      </c>
      <c r="BK10" s="26">
        <f>AA9</f>
        <v>0</v>
      </c>
      <c r="BL10" s="22" t="s">
        <v>1088</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6"/>
      <c r="AW11" s="1573"/>
      <c r="AX11" s="1066"/>
      <c r="AY11" s="25"/>
      <c r="AZ11" s="25"/>
      <c r="BA11" s="25"/>
      <c r="BB11" s="1595" t="str">
        <f>I10</f>
        <v>工业</v>
      </c>
      <c r="BC11" s="1595" t="str">
        <f>K10</f>
        <v>工业</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5" t="s">
        <v>1101</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v>
      </c>
      <c r="D13" s="1621" t="s">
        <v>3387</v>
      </c>
      <c r="E13" s="13">
        <f>IF($C$3="是",ROUND($A$3*G13/$B$3,2),ROUND($A$3*(G13-AT13)/$B$3,2))</f>
        <v>13229.21</v>
      </c>
      <c r="F13" s="29"/>
      <c r="G13" s="30">
        <f>H13+AC13+AT13</f>
        <v>3636.6</v>
      </c>
      <c r="H13" s="17">
        <f>SUMIF(I$12:AB$12,"总值",I13:AB13)</f>
        <v>3636.6</v>
      </c>
      <c r="I13" s="1622">
        <f>Sheet1!B2</f>
        <v>3636.6</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1</v>
      </c>
      <c r="AY13" s="1345">
        <f>ROUND($AY$6*AZ13/$AZ$5,2)</f>
        <v>13229.21</v>
      </c>
      <c r="AZ13" s="13">
        <f>BA13+BL13</f>
        <v>3636.6</v>
      </c>
      <c r="BA13" s="13">
        <f>SUM(BB13:BK13)</f>
        <v>3636.6</v>
      </c>
      <c r="BB13" s="13">
        <f>IF($D13="是",I13-J13,0)</f>
        <v>3636.6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047">
        <v>2</v>
      </c>
      <c r="D14" s="1621" t="s">
        <v>3387</v>
      </c>
      <c r="E14" s="13">
        <f>IF($C$3="是",ROUND($A$3*G14/$B$3,2),ROUND($A$3*(G14-AT14)/$B$3,2))</f>
        <v>1001.85</v>
      </c>
      <c r="F14" s="29"/>
      <c r="G14" s="30">
        <f>H14+AC14+AT14</f>
        <v>275.39999999999998</v>
      </c>
      <c r="H14" s="17">
        <f>SUMIF(I$12:AB$12,"总值",I14:AB14)</f>
        <v>275.39999999999998</v>
      </c>
      <c r="I14" s="1622">
        <f>Sheet1!B3</f>
        <v>275.39999999999998</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2</v>
      </c>
      <c r="AY14" s="1345">
        <f>ROUND($AY$6*AZ14/$AZ$5,2)</f>
        <v>1001.85</v>
      </c>
      <c r="AZ14" s="13">
        <f>BA14+BL14</f>
        <v>275.39999999999998</v>
      </c>
      <c r="BA14" s="13">
        <f>SUM(BB14:BK14)</f>
        <v>275.39999999999998</v>
      </c>
      <c r="BB14" s="13">
        <f>IF($D14="是",I14-J14,0)</f>
        <v>275.39999999999998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047">
        <v>3</v>
      </c>
      <c r="D15" s="1621" t="s">
        <v>3387</v>
      </c>
      <c r="E15" s="13">
        <f>IF($C$3="是",ROUND($A$3*G15/$B$3,2),ROUND($A$3*(G15-AT15)/$B$3,2))</f>
        <v>2568.29</v>
      </c>
      <c r="F15" s="29"/>
      <c r="G15" s="30">
        <f>H15+AC15+AT15</f>
        <v>706</v>
      </c>
      <c r="H15" s="17">
        <f>SUMIF(I$12:AB$12,"总值",I15:AB15)</f>
        <v>706</v>
      </c>
      <c r="I15" s="1622">
        <f>Sheet1!B4</f>
        <v>706</v>
      </c>
      <c r="J15" s="1622"/>
      <c r="K15" s="1622"/>
      <c r="L15" s="1622"/>
      <c r="M15" s="3508"/>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3</v>
      </c>
      <c r="AY15" s="1345">
        <f>ROUND($AY$6*AZ15/$AZ$5,2)</f>
        <v>2568.29</v>
      </c>
      <c r="AZ15" s="13">
        <f>BA15+BL15</f>
        <v>706</v>
      </c>
      <c r="BA15" s="13">
        <f>SUM(BB15:BK15)</f>
        <v>706</v>
      </c>
      <c r="BB15" s="13">
        <f>IF($D15="是",I15-J15,0)</f>
        <v>706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047">
        <v>4</v>
      </c>
      <c r="D16" s="1621" t="s">
        <v>3387</v>
      </c>
      <c r="E16" s="13">
        <f>IF($C$3="是",ROUND($A$3*G16/$B$3,2),ROUND($A$3*(G16-AT16)/$B$3,2))</f>
        <v>13377.64</v>
      </c>
      <c r="F16" s="29"/>
      <c r="G16" s="30">
        <f>H16+AC16+AT16</f>
        <v>3677.4</v>
      </c>
      <c r="H16" s="17">
        <f>SUMIF(I$12:AB$12,"总值",I16:AB16)</f>
        <v>3677.4</v>
      </c>
      <c r="I16" s="1622">
        <f>Sheet1!B5</f>
        <v>3677.4</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4</v>
      </c>
      <c r="AY16" s="1345">
        <f>ROUND($AY$6*AZ16/$AZ$5,2)</f>
        <v>13377.64</v>
      </c>
      <c r="AZ16" s="13">
        <f>BA16+BL16</f>
        <v>3677.4</v>
      </c>
      <c r="BA16" s="13">
        <f>SUM(BB16:BK16)</f>
        <v>3677.4</v>
      </c>
      <c r="BB16" s="13">
        <f>IF($D16="是",I16-J16,0)</f>
        <v>3677.4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047">
        <v>5</v>
      </c>
      <c r="D17" s="1621" t="s">
        <v>3387</v>
      </c>
      <c r="E17" s="13">
        <f>IF($C$3="是",ROUND($A$3*G17/$B$3,2),ROUND($A$3*(G17-AT17)/$B$3,2))</f>
        <v>11961.08</v>
      </c>
      <c r="F17" s="29"/>
      <c r="G17" s="30">
        <f>H17+AC17+AT17</f>
        <v>3288</v>
      </c>
      <c r="H17" s="17">
        <f>SUMIF(I$12:AB$12,"总值",I17:AB17)</f>
        <v>3288</v>
      </c>
      <c r="I17" s="1622">
        <f>Sheet1!B6</f>
        <v>3288</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5</v>
      </c>
      <c r="AY17" s="1345">
        <f>ROUND($AY$6*AZ17/$AZ$5,2)</f>
        <v>11961.08</v>
      </c>
      <c r="AZ17" s="13">
        <f>BA17+BL17</f>
        <v>3288</v>
      </c>
      <c r="BA17" s="13">
        <f>SUM(BB17:BK17)</f>
        <v>3288</v>
      </c>
      <c r="BB17" s="13">
        <f>IF($D17="是",I17-J17,0)</f>
        <v>3288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v>6</v>
      </c>
      <c r="D18" s="1621" t="s">
        <v>3387</v>
      </c>
      <c r="E18" s="32">
        <f t="shared" ref="E18:E112" si="7">IF($C$3="是",ROUND($A$3*G18/$B$3,2),ROUND($A$3*(G18-AT18)/$B$3,2))</f>
        <v>18808.29</v>
      </c>
      <c r="F18" s="33"/>
      <c r="G18" s="34">
        <f t="shared" ref="G18:G109" si="8">H18+AC18+AT18</f>
        <v>5170.24</v>
      </c>
      <c r="H18" s="35">
        <f t="shared" ref="H18:H109" si="9">SUMIF(I$12:AB$12,"总值",I18:AB18)</f>
        <v>5170.24</v>
      </c>
      <c r="I18" s="1622">
        <f>Sheet1!B7</f>
        <v>5170.24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6</v>
      </c>
      <c r="AY18" s="39">
        <f t="shared" ref="AY18:AY109" si="14">ROUND($AY$6*AZ18/$AZ$5,2)</f>
        <v>18808.29</v>
      </c>
      <c r="AZ18" s="32">
        <f t="shared" ref="AZ18:AZ109" si="15">BA18+BL18</f>
        <v>5170.24</v>
      </c>
      <c r="BA18" s="32">
        <f t="shared" ref="BA18:BA109" si="16">SUM(BB18:BK18)</f>
        <v>5170.24</v>
      </c>
      <c r="BB18" s="32">
        <f t="shared" ref="BB18:BB109" si="17">IF($D18="是",I18-J18,0)</f>
        <v>5170.24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v>7</v>
      </c>
      <c r="D19" s="1621" t="s">
        <v>3387</v>
      </c>
      <c r="E19" s="32">
        <f t="shared" si="7"/>
        <v>12639.89</v>
      </c>
      <c r="F19" s="33"/>
      <c r="G19" s="34">
        <f t="shared" si="8"/>
        <v>3474.6</v>
      </c>
      <c r="H19" s="35">
        <f t="shared" si="9"/>
        <v>3474.6</v>
      </c>
      <c r="I19" s="1622">
        <f>Sheet1!B8</f>
        <v>3229.35</v>
      </c>
      <c r="J19" s="36"/>
      <c r="K19" s="36">
        <f>Sheet1!C8</f>
        <v>245.25</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7</v>
      </c>
      <c r="AY19" s="39">
        <f t="shared" si="14"/>
        <v>12639.89</v>
      </c>
      <c r="AZ19" s="32">
        <f t="shared" si="15"/>
        <v>3474.6</v>
      </c>
      <c r="BA19" s="32">
        <f t="shared" si="16"/>
        <v>3474.6</v>
      </c>
      <c r="BB19" s="32">
        <f t="shared" si="17"/>
        <v>3229.35</v>
      </c>
      <c r="BC19" s="32">
        <f t="shared" si="18"/>
        <v>245.25</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M13"/>
  <sheetViews>
    <sheetView workbookViewId="0">
      <selection activeCell="J17" sqref="J17"/>
    </sheetView>
  </sheetViews>
  <sheetFormatPr defaultRowHeight="13.5"/>
  <cols>
    <col min="6" max="7" width="14.875" customWidth="1"/>
  </cols>
  <sheetData>
    <row r="1" spans="1:13">
      <c r="B1" s="3509" t="s">
        <v>3488</v>
      </c>
      <c r="E1" s="3509" t="s">
        <v>3489</v>
      </c>
      <c r="F1" s="3509" t="s">
        <v>3496</v>
      </c>
      <c r="G1" s="3509" t="s">
        <v>3497</v>
      </c>
      <c r="H1" s="3509" t="s">
        <v>3495</v>
      </c>
      <c r="I1" s="3509" t="s">
        <v>3493</v>
      </c>
      <c r="J1" s="3509" t="s">
        <v>3494</v>
      </c>
      <c r="K1" s="3509" t="s">
        <v>3487</v>
      </c>
    </row>
    <row r="2" spans="1:13">
      <c r="A2" s="3509" t="s">
        <v>3483</v>
      </c>
      <c r="B2">
        <v>15550.94</v>
      </c>
      <c r="D2" s="3509" t="s">
        <v>3490</v>
      </c>
      <c r="E2">
        <f>SUM(F2:K2)</f>
        <v>33759.019999999997</v>
      </c>
      <c r="F2">
        <f>33759.02-G2-H2</f>
        <v>13070.739999999998</v>
      </c>
      <c r="G2">
        <f>ROUND(B4/B10*E10,2)</f>
        <v>20688.28</v>
      </c>
      <c r="H2">
        <f>'数据-基础表'!AL13</f>
        <v>0</v>
      </c>
    </row>
    <row r="3" spans="1:13">
      <c r="A3" s="3509" t="s">
        <v>3484</v>
      </c>
      <c r="B3">
        <v>3617.18</v>
      </c>
      <c r="D3" s="3509" t="s">
        <v>3491</v>
      </c>
      <c r="E3">
        <f>SUM(F3:K3)</f>
        <v>0</v>
      </c>
      <c r="F3">
        <f>'数据-基础表'!K14</f>
        <v>0</v>
      </c>
    </row>
    <row r="4" spans="1:13">
      <c r="A4" s="3509" t="s">
        <v>3485</v>
      </c>
      <c r="B4">
        <v>20549.52</v>
      </c>
      <c r="D4" s="3509" t="s">
        <v>3492</v>
      </c>
      <c r="E4">
        <f>SUM(F4:K4)</f>
        <v>15404.58</v>
      </c>
      <c r="H4">
        <v>92.98</v>
      </c>
      <c r="I4">
        <f>B3</f>
        <v>3617.18</v>
      </c>
      <c r="J4">
        <f>B5</f>
        <v>7662.36</v>
      </c>
      <c r="K4">
        <f>M4-I4-J4-H4</f>
        <v>4032.06</v>
      </c>
      <c r="M4">
        <v>15404.58</v>
      </c>
    </row>
    <row r="5" spans="1:13">
      <c r="A5" s="3509" t="s">
        <v>3486</v>
      </c>
      <c r="B5">
        <v>7662.36</v>
      </c>
    </row>
    <row r="6" spans="1:13">
      <c r="B6">
        <f>SUM(B2:B5)</f>
        <v>47380</v>
      </c>
    </row>
    <row r="7" spans="1:13">
      <c r="A7" s="3509" t="s">
        <v>3487</v>
      </c>
      <c r="B7">
        <f>13840.42-B3-B5</f>
        <v>2560.88</v>
      </c>
    </row>
    <row r="10" spans="1:13">
      <c r="B10">
        <f>B6+B7</f>
        <v>49940.88</v>
      </c>
      <c r="E10">
        <f>33759.02+1114.5+15404.58</f>
        <v>50278.1</v>
      </c>
    </row>
    <row r="12" spans="1:13">
      <c r="I12">
        <f>J4+4498.41</f>
        <v>12160.77</v>
      </c>
      <c r="J12">
        <f>J4/I12*437</f>
        <v>275.34862677281126</v>
      </c>
    </row>
    <row r="13" spans="1:13">
      <c r="I13" t="e">
        <f>I12/'数据-取费表'!AH8</f>
        <v>#DIV/0!</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zoomScaleSheetLayoutView="70" workbookViewId="0">
      <selection activeCell="K18" sqref="K1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5"/>
      <c r="C1" s="1135"/>
      <c r="D1" s="1135"/>
      <c r="E1" s="1135"/>
      <c r="F1" s="1135"/>
      <c r="G1" s="1135"/>
      <c r="H1" s="1135"/>
      <c r="I1" s="1135"/>
      <c r="J1" s="1135"/>
      <c r="K1" s="1135"/>
      <c r="L1" s="1135"/>
      <c r="M1" s="1135"/>
      <c r="N1" s="1135"/>
      <c r="O1" s="1135"/>
      <c r="P1" s="1135"/>
    </row>
    <row r="2" spans="1:16" ht="15">
      <c r="A2" s="3598" t="s">
        <v>1128</v>
      </c>
      <c r="B2" s="3598"/>
      <c r="C2" s="3598"/>
      <c r="D2" s="792" t="s">
        <v>1104</v>
      </c>
      <c r="E2" s="1635" t="s">
        <v>1105</v>
      </c>
      <c r="F2" s="2655"/>
      <c r="G2" s="2646"/>
      <c r="H2" s="2647"/>
      <c r="I2" s="2321" t="s">
        <v>1129</v>
      </c>
      <c r="J2" s="2655"/>
      <c r="K2" s="2655"/>
      <c r="L2" s="2655"/>
      <c r="M2" s="2655"/>
      <c r="N2" s="2657"/>
      <c r="O2" s="2655"/>
      <c r="P2" s="2655"/>
    </row>
    <row r="3" spans="1:16" ht="15.75" thickBot="1">
      <c r="A3" s="3599" t="s">
        <v>1102</v>
      </c>
      <c r="B3" s="3599"/>
      <c r="C3" s="3599"/>
      <c r="D3" s="43">
        <f>'数据-基础表'!AY6</f>
        <v>73586.240000000005</v>
      </c>
      <c r="E3" s="43">
        <f>'数据-基础表'!AZ5</f>
        <v>20228.239999999998</v>
      </c>
      <c r="F3" s="2655"/>
      <c r="G3" s="1141"/>
      <c r="H3" s="1022" t="s">
        <v>1103</v>
      </c>
      <c r="I3" s="851">
        <f>ROUND('数据-基础表'!B3/'数据-基础表'!A3,2)</f>
        <v>0.27</v>
      </c>
      <c r="J3" s="2655"/>
      <c r="K3" s="2655"/>
      <c r="L3" s="2655"/>
      <c r="M3" s="2655"/>
      <c r="N3" s="2657"/>
      <c r="O3" s="2655"/>
      <c r="P3" s="2655"/>
    </row>
    <row r="4" spans="1:16" ht="15">
      <c r="A4" s="3600"/>
      <c r="B4" s="3601"/>
      <c r="C4" s="3602"/>
      <c r="D4" s="1637" t="s">
        <v>1104</v>
      </c>
      <c r="E4" s="1638" t="s">
        <v>1105</v>
      </c>
      <c r="F4" s="2655"/>
      <c r="G4" s="2648" t="s">
        <v>1130</v>
      </c>
      <c r="H4" s="1022" t="s">
        <v>1110</v>
      </c>
      <c r="I4" s="851">
        <f>ROUND(SUMIF('数据-基础表'!I9:AS9,"地上",'数据-基础表'!I5:AS5)/'数据-基础表'!A3,2)</f>
        <v>0.27</v>
      </c>
      <c r="J4" s="2655"/>
      <c r="K4" s="2655"/>
      <c r="L4" s="2655"/>
      <c r="M4" s="2655"/>
      <c r="N4" s="2657"/>
      <c r="O4" s="2655"/>
      <c r="P4" s="2655"/>
    </row>
    <row r="5" spans="1:16">
      <c r="A5" s="44" t="s">
        <v>1106</v>
      </c>
      <c r="B5" s="3603" t="s">
        <v>1107</v>
      </c>
      <c r="C5" s="3603"/>
      <c r="D5" s="45">
        <f>ROUND($D$3*E5/$E$3,2)</f>
        <v>0</v>
      </c>
      <c r="E5" s="46">
        <f>SUMIF('数据-基础表'!$11:$11,"住宅",'数据-基础表'!$5:$5)</f>
        <v>0</v>
      </c>
      <c r="F5" s="2655"/>
      <c r="G5" s="1141"/>
      <c r="H5" s="1022" t="s">
        <v>1103</v>
      </c>
      <c r="I5" s="851">
        <f>ROUND(E31/D31,2)</f>
        <v>0.27</v>
      </c>
      <c r="J5" s="2655"/>
      <c r="K5" s="2655"/>
      <c r="L5" s="2655"/>
      <c r="M5" s="2655"/>
      <c r="N5" s="2655"/>
      <c r="O5" s="2655"/>
      <c r="P5" s="2655"/>
    </row>
    <row r="6" spans="1:16" ht="15" thickBot="1">
      <c r="A6" s="1640"/>
      <c r="B6" s="3603" t="s">
        <v>1108</v>
      </c>
      <c r="C6" s="3603"/>
      <c r="D6" s="45">
        <f>ROUND($D$3*E6/$E$3,2)</f>
        <v>73586.240000000005</v>
      </c>
      <c r="E6" s="46">
        <f>E3-E5</f>
        <v>20228.239999999998</v>
      </c>
      <c r="F6" s="2655"/>
      <c r="G6" s="2649" t="s">
        <v>1109</v>
      </c>
      <c r="H6" s="1142" t="s">
        <v>1110</v>
      </c>
      <c r="I6" s="2650">
        <f>ROUND(F31/D31,2)</f>
        <v>0.27</v>
      </c>
      <c r="J6" s="2655"/>
      <c r="K6" s="2655"/>
      <c r="L6" s="2655"/>
      <c r="M6" s="2655"/>
      <c r="N6" s="2655"/>
      <c r="O6" s="2655"/>
      <c r="P6" s="2655"/>
    </row>
    <row r="7" spans="1:16" ht="15.75" thickBot="1">
      <c r="A7" s="3595"/>
      <c r="B7" s="3596"/>
      <c r="C7" s="3597"/>
      <c r="D7" s="1637" t="s">
        <v>1104</v>
      </c>
      <c r="E7" s="1641" t="s">
        <v>1111</v>
      </c>
      <c r="F7" s="2655"/>
      <c r="G7" s="2651" t="s">
        <v>1112</v>
      </c>
      <c r="H7" s="2652"/>
      <c r="I7" s="2653">
        <v>1</v>
      </c>
      <c r="J7" s="2655"/>
      <c r="K7" s="2655"/>
      <c r="L7" s="2655"/>
      <c r="M7" s="2655"/>
      <c r="N7" s="2655"/>
      <c r="O7" s="2655"/>
      <c r="P7" s="2655"/>
    </row>
    <row r="8" spans="1:16">
      <c r="A8" s="44" t="s">
        <v>1113</v>
      </c>
      <c r="B8" s="47" t="s">
        <v>1114</v>
      </c>
      <c r="C8" s="45" t="s">
        <v>1115</v>
      </c>
      <c r="D8" s="45">
        <f t="shared" ref="D8:D15" si="0">ROUND($D$3*E8/$E$3,2)</f>
        <v>72694.070000000007</v>
      </c>
      <c r="E8" s="48">
        <f>SUMIF('数据-基础表'!BB10:BK10,"地上",'数据-基础表'!BB5:BK5)</f>
        <v>19982.989999999998</v>
      </c>
      <c r="F8" s="2655"/>
      <c r="G8" s="2656"/>
      <c r="H8" s="2656"/>
      <c r="I8" s="2655"/>
      <c r="J8" s="2655"/>
      <c r="K8" s="2655"/>
      <c r="L8" s="2655"/>
      <c r="M8" s="2655"/>
      <c r="N8" s="2655"/>
      <c r="O8" s="2655"/>
      <c r="P8" s="2655"/>
    </row>
    <row r="9" spans="1:16">
      <c r="A9" s="1642"/>
      <c r="B9" s="1643"/>
      <c r="C9" s="45" t="s">
        <v>1116</v>
      </c>
      <c r="D9" s="45">
        <f t="shared" si="0"/>
        <v>0</v>
      </c>
      <c r="E9" s="49">
        <v>0</v>
      </c>
      <c r="F9" s="2655"/>
      <c r="G9" s="2656"/>
      <c r="H9" s="2656"/>
      <c r="I9" s="2655"/>
      <c r="J9" s="2655"/>
      <c r="K9" s="2655"/>
      <c r="L9" s="2655"/>
      <c r="M9" s="2655"/>
      <c r="N9" s="2655"/>
      <c r="O9" s="2655"/>
      <c r="P9" s="2655"/>
    </row>
    <row r="10" spans="1:16">
      <c r="A10" s="1642"/>
      <c r="B10" s="1643"/>
      <c r="C10" s="45" t="s">
        <v>1125</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1117</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1118</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1119</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1131</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1126</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1120</v>
      </c>
      <c r="D16" s="47">
        <f>SUM(D8:D15)</f>
        <v>72694.070000000007</v>
      </c>
      <c r="E16" s="50">
        <f>SUM(E8:E15)</f>
        <v>19982.989999999998</v>
      </c>
      <c r="F16" s="2655"/>
      <c r="G16" s="2656"/>
      <c r="H16" s="1644" t="s">
        <v>1132</v>
      </c>
      <c r="I16" s="1645"/>
      <c r="J16" s="1135"/>
      <c r="K16" s="3592" t="s">
        <v>1132</v>
      </c>
      <c r="L16" s="3593"/>
      <c r="M16" s="3593"/>
      <c r="N16" s="3593"/>
      <c r="O16" s="3593"/>
      <c r="P16" s="3594"/>
    </row>
    <row r="17" spans="1:19" ht="15">
      <c r="A17" s="1646" t="s">
        <v>1133</v>
      </c>
      <c r="B17" s="1647" t="s">
        <v>1134</v>
      </c>
      <c r="C17" s="1648" t="s">
        <v>1135</v>
      </c>
      <c r="D17" s="1649" t="s">
        <v>1123</v>
      </c>
      <c r="E17" s="1650" t="s">
        <v>1124</v>
      </c>
      <c r="F17" s="1651"/>
      <c r="G17" s="1652"/>
      <c r="H17" s="1653" t="s">
        <v>1136</v>
      </c>
      <c r="I17" s="1654" t="s">
        <v>1121</v>
      </c>
      <c r="J17" s="1135"/>
      <c r="K17" s="3589" t="s">
        <v>1137</v>
      </c>
      <c r="L17" s="3590"/>
      <c r="M17" s="3591"/>
      <c r="N17" s="3589" t="s">
        <v>1138</v>
      </c>
      <c r="O17" s="3590"/>
      <c r="P17" s="3591"/>
      <c r="R17" s="1636" t="s">
        <v>1139</v>
      </c>
      <c r="S17" s="56"/>
    </row>
    <row r="18" spans="1:19" ht="15">
      <c r="A18" s="1642"/>
      <c r="B18" s="1655"/>
      <c r="C18" s="1656"/>
      <c r="D18" s="1657"/>
      <c r="E18" s="1658" t="s">
        <v>1140</v>
      </c>
      <c r="F18" s="1659" t="s">
        <v>1141</v>
      </c>
      <c r="G18" s="1660" t="s">
        <v>1142</v>
      </c>
      <c r="H18" s="1037" t="s">
        <v>1143</v>
      </c>
      <c r="I18" s="1661" t="s">
        <v>1144</v>
      </c>
      <c r="J18" s="1135"/>
      <c r="K18" s="1037" t="s">
        <v>1145</v>
      </c>
      <c r="L18" s="1662" t="s">
        <v>1146</v>
      </c>
      <c r="M18" s="851" t="s">
        <v>1147</v>
      </c>
      <c r="N18" s="1037" t="s">
        <v>1145</v>
      </c>
      <c r="O18" s="1662" t="s">
        <v>1146</v>
      </c>
      <c r="P18" s="851" t="s">
        <v>1147</v>
      </c>
      <c r="R18" s="1022" t="s">
        <v>1148</v>
      </c>
      <c r="S18" s="1022" t="s">
        <v>1149</v>
      </c>
    </row>
    <row r="19" spans="1:19">
      <c r="A19" s="1663"/>
      <c r="B19" s="47" t="s">
        <v>1122</v>
      </c>
      <c r="C19" s="3413" t="s">
        <v>3500</v>
      </c>
      <c r="D19" s="45">
        <f>ROUND($D$3*E19/$E$3,2)</f>
        <v>73586.240000000005</v>
      </c>
      <c r="E19" s="53">
        <f t="shared" ref="E19:E26" si="1">SUM(F19:G19)</f>
        <v>20228.239999999998</v>
      </c>
      <c r="F19" s="2791">
        <f>'数据-基础表'!I5</f>
        <v>19982.989999999998</v>
      </c>
      <c r="G19" s="2792">
        <f>'数据-基础表'!K5</f>
        <v>245.25</v>
      </c>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73586.240000000005</v>
      </c>
      <c r="S19" s="1023">
        <f t="shared" si="5"/>
        <v>20228.239999999998</v>
      </c>
    </row>
    <row r="20" spans="1:19">
      <c r="A20" s="1666"/>
      <c r="B20" s="47" t="s">
        <v>1150</v>
      </c>
      <c r="C20" s="3413"/>
      <c r="D20" s="45">
        <f t="shared" ref="D20:D26" si="6">ROUND($D$3*E20/$E$3,2)</f>
        <v>0</v>
      </c>
      <c r="E20" s="53">
        <f t="shared" si="1"/>
        <v>0</v>
      </c>
      <c r="F20" s="2791"/>
      <c r="G20" s="2792"/>
      <c r="H20" s="669">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1150</v>
      </c>
      <c r="C21" s="3413"/>
      <c r="D21" s="45">
        <f t="shared" si="6"/>
        <v>0</v>
      </c>
      <c r="E21" s="53">
        <f t="shared" si="1"/>
        <v>0</v>
      </c>
      <c r="F21" s="2791"/>
      <c r="G21" s="2792"/>
      <c r="H21" s="669">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1150</v>
      </c>
      <c r="C22" s="3414"/>
      <c r="D22" s="45">
        <f t="shared" si="6"/>
        <v>0</v>
      </c>
      <c r="E22" s="53">
        <f t="shared" si="1"/>
        <v>0</v>
      </c>
      <c r="F22" s="2793"/>
      <c r="G22" s="2794"/>
      <c r="H22" s="669">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1150</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1150</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1150</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1150</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1151</v>
      </c>
      <c r="D27" s="1136">
        <f>SUM(D19:D26)</f>
        <v>73586.240000000005</v>
      </c>
      <c r="E27" s="1137">
        <f>IF(SUM(E19:E26)='数据-基础表'!BA5,SUM(E19:E26),IF(F27="地上面积有误","面积有误","地下面积有误"))</f>
        <v>20228.239999999998</v>
      </c>
      <c r="F27" s="1136">
        <f>IF(SUM(F19:F26)=E8,SUM(F19:F26),"地上面积有误")</f>
        <v>19982.989999999998</v>
      </c>
      <c r="G27" s="1138">
        <f>SUM(G19:G26)</f>
        <v>245.25</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73586.240000000005</v>
      </c>
      <c r="S27" s="1022">
        <f>IF(SUM(S19:S26)=$E$3,SUM(S19:S26),SUM(S19:S26)&amp;"误差"&amp;ROUND(SUM(S19:S26)-E3,2))</f>
        <v>20228.239999999998</v>
      </c>
    </row>
    <row r="28" spans="1:19">
      <c r="A28" s="1666"/>
      <c r="B28" s="47" t="s">
        <v>1152</v>
      </c>
      <c r="C28" s="1034" t="s">
        <v>1153</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1152</v>
      </c>
      <c r="C29" s="1670" t="s">
        <v>1154</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1151</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1155</v>
      </c>
      <c r="D31" s="675">
        <f>D27+D30</f>
        <v>73586.240000000005</v>
      </c>
      <c r="E31" s="675">
        <f>E27+E30</f>
        <v>20228.239999999998</v>
      </c>
      <c r="F31" s="676">
        <f>F27+F30</f>
        <v>19982.989999999998</v>
      </c>
      <c r="G31" s="677">
        <f>G27+G30</f>
        <v>245.25</v>
      </c>
      <c r="H31" s="2655"/>
      <c r="I31" s="2655"/>
      <c r="J31" s="2655"/>
      <c r="K31" s="2655"/>
      <c r="L31" s="2655"/>
      <c r="M31" s="2655"/>
      <c r="N31" s="2655"/>
      <c r="O31" s="2655"/>
      <c r="P31" s="2655"/>
    </row>
    <row r="32" spans="1:19">
      <c r="A32" s="1639"/>
      <c r="B32" s="1639" t="s">
        <v>1156</v>
      </c>
      <c r="C32" s="1639"/>
      <c r="D32" s="1639"/>
      <c r="E32" s="1049">
        <f>SUMIF(C19:C26,"*住宅*",E19:E26)</f>
        <v>0</v>
      </c>
      <c r="F32" s="1639"/>
      <c r="G32" s="1639"/>
      <c r="H32" s="2655"/>
      <c r="I32" s="2655"/>
      <c r="J32" s="2655"/>
      <c r="K32" s="2655"/>
      <c r="L32" s="2655"/>
      <c r="M32" s="2655"/>
      <c r="N32" s="2655"/>
      <c r="O32" s="2655"/>
      <c r="P32" s="2655"/>
    </row>
    <row r="33" spans="4:7">
      <c r="D33" s="1674"/>
    </row>
    <row r="37" spans="4:7">
      <c r="F37" s="1634">
        <v>4</v>
      </c>
      <c r="G37" s="1634">
        <v>1</v>
      </c>
    </row>
    <row r="38" spans="4:7">
      <c r="G38" s="1634">
        <v>0.5</v>
      </c>
    </row>
    <row r="39" spans="4:7">
      <c r="E39" s="1634">
        <f>F39+G39</f>
        <v>79931.959999999992</v>
      </c>
      <c r="F39" s="1634">
        <f>F37*F27</f>
        <v>79931.959999999992</v>
      </c>
      <c r="G39" s="1634">
        <f>G37*G20+G38*G21</f>
        <v>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33" activePane="bottomRight" state="frozen"/>
      <selection activeCell="C50" sqref="C50"/>
      <selection pane="topRight" activeCell="C50" sqref="C50"/>
      <selection pane="bottomLeft" activeCell="C50" sqref="C50"/>
      <selection pane="bottomRight" activeCell="Q23" sqref="Q23"/>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0.125" style="1678" customWidth="1"/>
    <col min="22" max="22" width="6.375" style="1678" customWidth="1"/>
    <col min="23" max="23" width="7.25" style="1678" customWidth="1"/>
    <col min="24"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1158</v>
      </c>
      <c r="B2" s="1041">
        <f>项目基本情况!D3</f>
        <v>45467</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1159</v>
      </c>
      <c r="B4" s="1684"/>
      <c r="C4" s="1685"/>
      <c r="D4" s="1686"/>
      <c r="E4" s="1685" t="s">
        <v>1160</v>
      </c>
      <c r="F4" s="1685"/>
      <c r="G4" s="1685"/>
      <c r="H4" s="1685"/>
      <c r="I4" s="1685"/>
      <c r="J4" s="1687"/>
      <c r="K4" s="1688"/>
      <c r="L4" s="1689"/>
      <c r="M4" s="1685"/>
      <c r="N4" s="1685" t="s">
        <v>1161</v>
      </c>
      <c r="O4" s="1685"/>
      <c r="P4" s="1685"/>
      <c r="Q4" s="1685"/>
      <c r="R4" s="1685"/>
      <c r="S4" s="1687"/>
      <c r="T4" s="2654"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3" t="s">
        <v>1169</v>
      </c>
      <c r="F5" s="1695" t="s">
        <v>1170</v>
      </c>
      <c r="G5" s="1043" t="s">
        <v>1171</v>
      </c>
      <c r="H5" s="1043" t="s">
        <v>1172</v>
      </c>
      <c r="I5" s="1043" t="s">
        <v>1173</v>
      </c>
      <c r="J5" s="1696" t="s">
        <v>1174</v>
      </c>
      <c r="K5" s="1697" t="s">
        <v>1175</v>
      </c>
      <c r="L5" s="1698" t="s">
        <v>1176</v>
      </c>
      <c r="M5" s="1699" t="s">
        <v>1177</v>
      </c>
      <c r="N5" s="1700" t="s">
        <v>3389</v>
      </c>
      <c r="O5" s="1698" t="s">
        <v>1178</v>
      </c>
      <c r="P5" s="1701" t="s">
        <v>1179</v>
      </c>
      <c r="Q5" s="61" t="s">
        <v>1180</v>
      </c>
      <c r="R5" s="1702" t="s">
        <v>1181</v>
      </c>
      <c r="S5" s="1703" t="s">
        <v>1182</v>
      </c>
      <c r="T5" s="1704" t="s">
        <v>1183</v>
      </c>
      <c r="U5" s="1042" t="s">
        <v>1184</v>
      </c>
      <c r="V5" s="1043" t="s">
        <v>1185</v>
      </c>
      <c r="W5" s="1043" t="s">
        <v>1186</v>
      </c>
      <c r="X5" s="63"/>
      <c r="Y5" s="62" t="s">
        <v>1187</v>
      </c>
      <c r="Z5" s="1705" t="s">
        <v>1184</v>
      </c>
      <c r="AA5" s="1043" t="s">
        <v>1185</v>
      </c>
      <c r="AB5" s="1043" t="s">
        <v>1186</v>
      </c>
      <c r="AC5" s="63"/>
      <c r="AD5" s="63" t="s">
        <v>1187</v>
      </c>
      <c r="AE5" s="1042" t="s">
        <v>1188</v>
      </c>
      <c r="AF5" s="1043" t="s">
        <v>1189</v>
      </c>
      <c r="AG5" s="62" t="s">
        <v>1190</v>
      </c>
      <c r="AH5" s="1042" t="s">
        <v>1191</v>
      </c>
      <c r="AI5" s="1705" t="s">
        <v>1192</v>
      </c>
      <c r="AJ5" s="1705" t="s">
        <v>1193</v>
      </c>
      <c r="AK5" s="1043" t="s">
        <v>1194</v>
      </c>
      <c r="AL5" s="1043" t="s">
        <v>1195</v>
      </c>
      <c r="AM5" s="62" t="s">
        <v>1196</v>
      </c>
      <c r="AN5" s="1706" t="s">
        <v>1197</v>
      </c>
      <c r="AO5" s="1558" t="s">
        <v>1198</v>
      </c>
      <c r="AP5" s="1024"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工业</v>
      </c>
      <c r="B6" s="1709" t="str">
        <f>IF(A6=0,"","经营性")</f>
        <v>经营性</v>
      </c>
      <c r="C6" s="1710" t="s">
        <v>3</v>
      </c>
      <c r="D6" s="854">
        <f>SUMIF(项目基本情况!C$12:I$12,C6,项目基本情况!C$14:I$14)</f>
        <v>50</v>
      </c>
      <c r="E6" s="853">
        <f>IF(B6="","",SUMIF(项目基本情况!C$12:I$12,C6,项目基本情况!C$13:I$13))</f>
        <v>56926</v>
      </c>
      <c r="F6" s="64">
        <f>SUMIF(项目基本情况!C$12:I$12,C6,项目基本情况!C$15:I$15)</f>
        <v>31.39</v>
      </c>
      <c r="G6" s="65">
        <f>IF(ISERROR(ROUND(POWER(1+H6,D6-F6)*(POWER(1+H6,F6)-1)/(POWER(1+H6,D6)-1),3)),0,ROUND(POWER(1+H6,D6-F6)*(POWER(1+H6,F6)-1)/(POWER(1+H6,D6)-1),3))</f>
        <v>0.85899999999999999</v>
      </c>
      <c r="H6" s="731">
        <v>0.05</v>
      </c>
      <c r="I6" s="731">
        <v>5.5E-2</v>
      </c>
      <c r="J6" s="66">
        <v>7.0000000000000007E-2</v>
      </c>
      <c r="K6" s="1026">
        <f>SUMIF('数据-汇总表'!C$19:C$33,A6,'数据-汇总表'!E$19:E$33)</f>
        <v>20228.239999999998</v>
      </c>
      <c r="L6" s="3485">
        <v>2500</v>
      </c>
      <c r="M6" s="67">
        <f t="shared" ref="M6:M14" si="0">ROUND(K6*L6/10000,0)</f>
        <v>5057</v>
      </c>
      <c r="N6" s="730">
        <f>N20</f>
        <v>0.69</v>
      </c>
      <c r="O6" s="67" t="str">
        <f>IF($N$5="成新度","——",ROUND(M6*N6,0))</f>
        <v>——</v>
      </c>
      <c r="P6" s="68" t="str">
        <f>IF($N$5="成新度","——",M6-O6)</f>
        <v>——</v>
      </c>
      <c r="Q6" s="733">
        <v>0.1</v>
      </c>
      <c r="R6" s="69">
        <f ca="1">SUMIF('数据-汇总表'!C$19:C$33,A6,'数据-汇总表'!R$19:R$27)</f>
        <v>73586.240000000005</v>
      </c>
      <c r="S6" s="51">
        <f>IF('数据-汇总表'!$I$17="按面积比例",SUMIF('数据-汇总表'!C$19:C$33,A6,'数据-汇总表'!K$19:K$33),SUMIF('数据-汇总表'!C$19:C$33,A6,'数据-汇总表'!N$19:N$33))</f>
        <v>0</v>
      </c>
      <c r="T6" s="1168">
        <f>ROUND($L$14*S6/10000,0)</f>
        <v>0</v>
      </c>
      <c r="U6" s="3510">
        <v>2</v>
      </c>
      <c r="V6" s="70">
        <v>0.02</v>
      </c>
      <c r="W6" s="70">
        <v>0.15</v>
      </c>
      <c r="X6" s="1036"/>
      <c r="Y6" s="71">
        <f>N6</f>
        <v>0.69</v>
      </c>
      <c r="Z6" s="72"/>
      <c r="AA6" s="66"/>
      <c r="AB6" s="66"/>
      <c r="AC6" s="1036"/>
      <c r="AD6" s="73"/>
      <c r="AE6" s="1037">
        <f ca="1">IF(AN6="",0,SUMIF(INDIRECT("'"&amp;AN6&amp;"'"&amp;"!E:E"),$AE$5,INDIRECT("'"&amp;AN6&amp;"'"&amp;"!F:F")))</f>
        <v>31</v>
      </c>
      <c r="AF6" s="1344"/>
      <c r="AG6" s="138">
        <f>IF(AF6="",0,AE6-AF6)</f>
        <v>0</v>
      </c>
      <c r="AH6" s="74"/>
      <c r="AI6" s="76">
        <v>365</v>
      </c>
      <c r="AJ6" s="77"/>
      <c r="AK6" s="3512">
        <v>5.0000000000000001E-3</v>
      </c>
      <c r="AL6" s="3513">
        <v>1E-3</v>
      </c>
      <c r="AM6" s="3514">
        <v>0.01</v>
      </c>
      <c r="AN6" s="1711" t="s">
        <v>3501</v>
      </c>
      <c r="AO6" s="52">
        <f ca="1">SUMIF(INDIRECT("'"&amp;AN6&amp;"'"&amp;"!A:A"),"总价",INDIRECT("'"&amp;AN6&amp;"'"&amp;"!B:B"))</f>
        <v>18289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6">
        <f>SUMIF('数据-汇总表'!C$19:C$33,A7,'数据-汇总表'!E$19:E$33)</f>
        <v>0</v>
      </c>
      <c r="L7" s="3485"/>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510"/>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3512"/>
      <c r="AL7" s="3513"/>
      <c r="AM7" s="3514"/>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31"/>
      <c r="I8" s="3516"/>
      <c r="J8" s="66"/>
      <c r="K8" s="1026">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68">
        <f t="shared" si="5"/>
        <v>0</v>
      </c>
      <c r="U8" s="3511"/>
      <c r="V8" s="3515"/>
      <c r="W8" s="734"/>
      <c r="X8" s="1036"/>
      <c r="Y8" s="71"/>
      <c r="Z8" s="72"/>
      <c r="AA8" s="66"/>
      <c r="AB8" s="66"/>
      <c r="AC8" s="1036"/>
      <c r="AD8" s="73"/>
      <c r="AE8" s="1037">
        <f t="shared" ca="1" si="6"/>
        <v>0</v>
      </c>
      <c r="AF8" s="1344"/>
      <c r="AG8" s="138">
        <f t="shared" si="7"/>
        <v>0</v>
      </c>
      <c r="AH8" s="735"/>
      <c r="AI8" s="76"/>
      <c r="AJ8" s="77"/>
      <c r="AK8" s="3512"/>
      <c r="AL8" s="3513"/>
      <c r="AM8" s="3514"/>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5"/>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8"/>
      <c r="AH14" s="1037"/>
      <c r="AI14" s="1353"/>
      <c r="AJ14" s="703"/>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3"/>
      <c r="AJ15" s="703"/>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8"/>
      <c r="C16" s="829"/>
      <c r="D16" s="1716"/>
      <c r="E16" s="88"/>
      <c r="F16" s="88"/>
      <c r="G16" s="89">
        <f>ROUND(SUMPRODUCT(G6:G13,K6:K13)/SUMPRODUCT((G6:G13&gt;0)*(K6:K13)),3)</f>
        <v>0.85899999999999999</v>
      </c>
      <c r="H16" s="90">
        <f>ROUND(SUMPRODUCT(H6:H13,K6:K13)/SUMPRODUCT((H6:H13&gt;0)*(K6:K13)),3)</f>
        <v>0.05</v>
      </c>
      <c r="I16" s="91"/>
      <c r="J16" s="91"/>
      <c r="K16" s="92">
        <f>SUM(K6:K15)</f>
        <v>20228.239999999998</v>
      </c>
      <c r="L16" s="93">
        <f>ROUND(M16*10000/SUM(K6:K14),0)</f>
        <v>2500</v>
      </c>
      <c r="M16" s="93">
        <f>SUM(M6:M14)</f>
        <v>5057</v>
      </c>
      <c r="N16" s="94">
        <f>ROUND(SUMPRODUCT(M6:M14,N6:N14)/M16,3)</f>
        <v>0.69</v>
      </c>
      <c r="O16" s="93">
        <f>SUM(O6:O14)</f>
        <v>0</v>
      </c>
      <c r="P16" s="93">
        <f>SUM(P6:P14)</f>
        <v>0</v>
      </c>
      <c r="Q16" s="95">
        <f>ROUND(SUMPRODUCT(Q6:Q13,K6:K13)/SUMPRODUCT((Q6:Q13&gt;0)*(K6:K13)),2)</f>
        <v>0.1</v>
      </c>
      <c r="R16" s="1030">
        <f ca="1">SUM(R6:R13)</f>
        <v>73586.240000000005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1995</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1207</v>
      </c>
      <c r="B18" s="2681"/>
      <c r="C18" s="2669"/>
      <c r="D18" s="2672"/>
      <c r="E18" s="2669"/>
      <c r="F18" s="2669"/>
      <c r="G18" s="2669"/>
      <c r="H18" s="2669"/>
      <c r="I18" s="2669"/>
      <c r="J18" s="2669"/>
      <c r="K18" s="2668"/>
      <c r="L18" s="2668"/>
      <c r="M18" s="2667"/>
      <c r="N18" s="2667">
        <f>ROUND(1-(1-0%)*(2024-'数据-取费表'!N17)/60,2)</f>
        <v>0.52</v>
      </c>
      <c r="O18" s="2667">
        <v>0.5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1208</v>
      </c>
      <c r="B19" s="103"/>
      <c r="C19" s="2795" t="s">
        <v>2300</v>
      </c>
      <c r="D19" s="2672"/>
      <c r="E19" s="2669"/>
      <c r="F19" s="2669"/>
      <c r="G19" s="2669"/>
      <c r="H19" s="2669"/>
      <c r="I19" s="2669"/>
      <c r="J19" s="2669"/>
      <c r="K19" s="2668"/>
      <c r="L19" s="2668"/>
      <c r="M19" s="2667"/>
      <c r="N19" s="2667">
        <f>0.85</f>
        <v>0.85</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1209</v>
      </c>
      <c r="B20" s="104">
        <v>1.5</v>
      </c>
      <c r="C20" s="2796" t="s">
        <v>2298</v>
      </c>
      <c r="D20" s="2672"/>
      <c r="E20" s="2669"/>
      <c r="F20" s="2669"/>
      <c r="G20" s="2669"/>
      <c r="H20" s="2669"/>
      <c r="I20" s="2669"/>
      <c r="J20" s="2669"/>
      <c r="K20" s="2668"/>
      <c r="L20" s="2668"/>
      <c r="M20" s="2667"/>
      <c r="N20" s="2667">
        <f>ROUND(N18*O18+N19*O19,2)</f>
        <v>0.69</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1210</v>
      </c>
      <c r="B21" s="104">
        <v>1.5</v>
      </c>
      <c r="C21" s="2669"/>
      <c r="D21" s="2672"/>
      <c r="E21" s="2669"/>
      <c r="F21" s="2669"/>
      <c r="G21" s="2669"/>
      <c r="H21" s="2669"/>
      <c r="I21" s="2669"/>
      <c r="J21" s="2669"/>
      <c r="K21" s="2668"/>
      <c r="L21" s="2668"/>
      <c r="M21" s="2667"/>
      <c r="N21" s="2667"/>
      <c r="O21" s="2667"/>
      <c r="P21" s="2667"/>
      <c r="Q21" s="2667"/>
      <c r="R21" s="2667"/>
      <c r="S21" s="2667"/>
      <c r="T21" s="2667"/>
      <c r="U21" s="2667">
        <f>'数据-基础表'!I5</f>
        <v>19982.989999999998</v>
      </c>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1211</v>
      </c>
      <c r="B22" s="105">
        <f>B19+B20</f>
        <v>1.5</v>
      </c>
      <c r="C22" s="2669"/>
      <c r="D22" s="2672"/>
      <c r="E22" s="2669"/>
      <c r="F22" s="2669"/>
      <c r="G22" s="2669"/>
      <c r="H22" s="2669"/>
      <c r="I22" s="2669"/>
      <c r="J22" s="2669"/>
      <c r="K22" s="2668"/>
      <c r="L22" s="2668"/>
      <c r="M22" s="2667"/>
      <c r="N22" s="2667"/>
      <c r="O22" s="2667"/>
      <c r="P22" s="2667"/>
      <c r="Q22" s="2667"/>
      <c r="R22" s="2667"/>
      <c r="S22" s="2667"/>
      <c r="T22" s="2667"/>
      <c r="U22" s="2667">
        <f>'数据-基础表'!K5</f>
        <v>245.25</v>
      </c>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1212</v>
      </c>
      <c r="B23" s="105">
        <f>B19+B21</f>
        <v>1.5</v>
      </c>
      <c r="C23" s="2669"/>
      <c r="D23" s="2672"/>
      <c r="E23" s="2669"/>
      <c r="F23" s="2669"/>
      <c r="G23" s="2669"/>
      <c r="H23" s="2669"/>
      <c r="I23" s="2669"/>
      <c r="J23" s="2669" t="s">
        <v>3472</v>
      </c>
      <c r="K23" s="2668"/>
      <c r="L23" s="2668" t="s">
        <v>3473</v>
      </c>
      <c r="M23" s="2667">
        <f>M24+M25</f>
        <v>3636.6</v>
      </c>
      <c r="N23" s="2667"/>
      <c r="O23" s="2667"/>
      <c r="P23" s="2667"/>
      <c r="Q23" s="2667"/>
      <c r="R23" s="2667"/>
      <c r="S23" s="2667"/>
      <c r="T23" s="2667"/>
      <c r="U23" s="2667">
        <f>U21+U22</f>
        <v>20228.239999999998</v>
      </c>
      <c r="V23" s="2667">
        <v>1.5</v>
      </c>
      <c r="W23" s="2667">
        <f>U23*V23*365</f>
        <v>11074961.399999999</v>
      </c>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1213</v>
      </c>
      <c r="B24" s="106">
        <f>B20-B21</f>
        <v>0</v>
      </c>
      <c r="C24" s="2669"/>
      <c r="D24" s="2672"/>
      <c r="E24" s="2669"/>
      <c r="F24" s="2669"/>
      <c r="G24" s="2669"/>
      <c r="H24" s="2669"/>
      <c r="I24" s="2669"/>
      <c r="J24" s="2669"/>
      <c r="K24" s="2668"/>
      <c r="L24" s="2668" t="s">
        <v>3388</v>
      </c>
      <c r="M24" s="2667">
        <f>'数据-基础表'!I13+'数据-基础表'!K14+'数据-基础表'!AC15</f>
        <v>3636.6</v>
      </c>
      <c r="N24" s="2667"/>
      <c r="O24" s="2667"/>
      <c r="P24" s="2667"/>
      <c r="Q24" s="2667"/>
      <c r="R24" s="2667"/>
      <c r="S24" s="2667"/>
      <c r="T24" s="2667"/>
      <c r="U24" s="2667">
        <v>4000</v>
      </c>
      <c r="V24" s="2667">
        <f>ROUND(U24/U23/365*10000,2)</f>
        <v>5.42</v>
      </c>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t="s">
        <v>3458</v>
      </c>
      <c r="M25" s="2667">
        <f>'数据-基础表'!M15</f>
        <v>0</v>
      </c>
      <c r="N25" s="2667"/>
      <c r="O25" s="2667"/>
      <c r="P25" s="2667"/>
      <c r="Q25" s="2667"/>
      <c r="R25" s="2667"/>
      <c r="S25" s="2667"/>
      <c r="T25" s="2667"/>
      <c r="U25" s="2671">
        <f ca="1">R16-U23</f>
        <v>53358.000000000007</v>
      </c>
      <c r="V25" s="2667">
        <v>0.3</v>
      </c>
      <c r="W25" s="2667">
        <f ca="1">U25*V25*365</f>
        <v>5842701.0000000009</v>
      </c>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1214</v>
      </c>
      <c r="B26" s="1722" t="s">
        <v>1215</v>
      </c>
      <c r="C26" s="2673" t="s">
        <v>1216</v>
      </c>
      <c r="D26" s="2672"/>
      <c r="E26" s="2669"/>
      <c r="F26" s="2669"/>
      <c r="G26" s="2669"/>
      <c r="H26" s="2669"/>
      <c r="I26" s="2669"/>
      <c r="J26" s="2669" t="s">
        <v>3474</v>
      </c>
      <c r="K26" s="2668" t="s">
        <v>3475</v>
      </c>
      <c r="L26" s="2668"/>
      <c r="M26" s="2667">
        <f>M27+M30+M31</f>
        <v>4200</v>
      </c>
      <c r="N26" s="2667"/>
      <c r="O26" s="2667"/>
      <c r="P26" s="2667"/>
      <c r="Q26" s="2667"/>
      <c r="R26" s="2667"/>
      <c r="S26" s="2667"/>
      <c r="T26" s="2667"/>
      <c r="U26" s="2667"/>
      <c r="V26" s="2667"/>
      <c r="W26" s="2667">
        <f ca="1">(W23+W25)/365/U23</f>
        <v>2.2913392366315608</v>
      </c>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1217</v>
      </c>
      <c r="B27" s="107"/>
      <c r="C27" s="2797" t="s">
        <v>2302</v>
      </c>
      <c r="D27" s="2675"/>
      <c r="E27" s="2657"/>
      <c r="F27" s="2657"/>
      <c r="G27" s="2669"/>
      <c r="H27" s="2669"/>
      <c r="I27" s="2669"/>
      <c r="J27" s="2669"/>
      <c r="K27" s="2668" t="s">
        <v>3476</v>
      </c>
      <c r="L27" s="2668" t="s">
        <v>3473</v>
      </c>
      <c r="M27" s="2667">
        <f>ROUND((M24*M28+M25*M29)/M23,0)</f>
        <v>1800</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1218</v>
      </c>
      <c r="B28" s="110">
        <v>200</v>
      </c>
      <c r="C28" s="2676"/>
      <c r="D28" s="2675"/>
      <c r="E28" s="2657"/>
      <c r="F28" s="2657"/>
      <c r="G28" s="2669"/>
      <c r="H28" s="2669"/>
      <c r="I28" s="2669"/>
      <c r="J28" s="2669"/>
      <c r="K28" s="2668"/>
      <c r="L28" s="2668" t="s">
        <v>3388</v>
      </c>
      <c r="M28" s="2667">
        <v>1800</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1219</v>
      </c>
      <c r="B29" s="112">
        <f>ROUND(B28*K16/10000,0)</f>
        <v>405</v>
      </c>
      <c r="C29" s="2798" t="s">
        <v>2289</v>
      </c>
      <c r="D29" s="2675"/>
      <c r="E29" s="2657"/>
      <c r="F29" s="2657"/>
      <c r="G29" s="2669"/>
      <c r="H29" s="2669"/>
      <c r="I29" s="2669"/>
      <c r="J29" s="2669"/>
      <c r="K29" s="2668"/>
      <c r="L29" s="2668" t="s">
        <v>3458</v>
      </c>
      <c r="M29" s="2667">
        <v>5000</v>
      </c>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1220</v>
      </c>
      <c r="B30" s="670">
        <v>200</v>
      </c>
      <c r="C30" s="2676"/>
      <c r="D30" s="2675"/>
      <c r="E30" s="2657"/>
      <c r="F30" s="2657"/>
      <c r="G30" s="2669"/>
      <c r="H30" s="2669"/>
      <c r="I30" s="2669"/>
      <c r="J30" s="2669"/>
      <c r="K30" s="2668" t="s">
        <v>3477</v>
      </c>
      <c r="L30" s="2668"/>
      <c r="M30" s="2667">
        <v>600</v>
      </c>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1221</v>
      </c>
      <c r="B31" s="111">
        <f>B30-B32</f>
        <v>200</v>
      </c>
      <c r="C31" s="2674"/>
      <c r="D31" s="2675"/>
      <c r="E31" s="2657"/>
      <c r="F31" s="2657"/>
      <c r="G31" s="2669"/>
      <c r="H31" s="2669"/>
      <c r="I31" s="2669"/>
      <c r="J31" s="2669"/>
      <c r="K31" s="2668" t="s">
        <v>3478</v>
      </c>
      <c r="L31" s="2668"/>
      <c r="M31" s="2667">
        <v>1800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1222</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1223</v>
      </c>
      <c r="B33" s="672">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1224</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1225</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1226</v>
      </c>
      <c r="B36" s="114">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1227</v>
      </c>
      <c r="B37" s="115">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1228</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1229</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1230</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1231</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1232</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1233</v>
      </c>
      <c r="B44" s="119">
        <v>0.05</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1234</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1235</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1236</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1237</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1238</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1239</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1240</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1241</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1242</v>
      </c>
      <c r="B53" s="1734" t="s">
        <v>29</v>
      </c>
      <c r="C53" s="2657" t="s">
        <v>1243</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1244</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1245</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1246</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1247</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1248</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1249</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1250</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1251</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1252</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1253</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7"/>
      <c r="L69" s="727"/>
    </row>
    <row r="70" spans="1:44" s="789" customFormat="1">
      <c r="A70" s="1737"/>
      <c r="D70" s="1738"/>
      <c r="K70" s="727"/>
      <c r="L70" s="727"/>
    </row>
    <row r="71" spans="1:44" s="789" customFormat="1">
      <c r="A71" s="1737"/>
      <c r="D71" s="1738"/>
      <c r="K71" s="727"/>
      <c r="L71" s="727"/>
    </row>
    <row r="72" spans="1:44" s="789" customFormat="1">
      <c r="A72" s="1737"/>
      <c r="D72" s="1738"/>
      <c r="K72" s="727"/>
      <c r="L72" s="727"/>
    </row>
    <row r="73" spans="1:44" s="789" customFormat="1">
      <c r="A73" s="1737"/>
      <c r="D73" s="1738"/>
      <c r="K73" s="727"/>
      <c r="L73" s="727"/>
    </row>
    <row r="74" spans="1:44" s="789" customFormat="1">
      <c r="A74" s="1737"/>
      <c r="D74" s="1738"/>
      <c r="K74" s="727"/>
      <c r="L74" s="727"/>
    </row>
    <row r="75" spans="1:44" s="789" customFormat="1">
      <c r="A75" s="1737"/>
      <c r="D75" s="1738"/>
      <c r="K75" s="727"/>
      <c r="L75" s="727"/>
    </row>
    <row r="76" spans="1:44" s="789" customFormat="1">
      <c r="A76" s="1737"/>
      <c r="D76" s="1738"/>
      <c r="K76" s="727"/>
      <c r="L76" s="727"/>
    </row>
    <row r="77" spans="1:44" s="789" customFormat="1">
      <c r="A77" s="1737"/>
      <c r="D77" s="1738"/>
      <c r="K77" s="727"/>
      <c r="L77" s="727"/>
    </row>
    <row r="78" spans="1:44" s="789" customFormat="1">
      <c r="A78" s="1737"/>
      <c r="D78" s="1738"/>
      <c r="K78" s="727"/>
      <c r="L78" s="727"/>
    </row>
    <row r="79" spans="1:44" s="789" customFormat="1">
      <c r="A79" s="1737"/>
      <c r="D79" s="1738"/>
      <c r="K79" s="727"/>
      <c r="L79" s="727"/>
    </row>
    <row r="80" spans="1:44" s="789" customFormat="1">
      <c r="A80" s="1737"/>
      <c r="D80" s="1738"/>
      <c r="K80" s="727"/>
      <c r="L80" s="727"/>
    </row>
    <row r="81" spans="1:12" s="789" customFormat="1">
      <c r="A81" s="1737"/>
      <c r="D81" s="1738"/>
      <c r="K81" s="727"/>
      <c r="L81" s="727"/>
    </row>
    <row r="82" spans="1:12" s="789" customFormat="1">
      <c r="A82" s="1737"/>
      <c r="D82" s="1738"/>
      <c r="K82" s="727"/>
      <c r="L82" s="727"/>
    </row>
    <row r="83" spans="1:12" s="789" customFormat="1">
      <c r="A83" s="1737"/>
      <c r="D83" s="1738"/>
      <c r="K83" s="727"/>
      <c r="L83" s="727"/>
    </row>
    <row r="84" spans="1:12" s="789" customFormat="1">
      <c r="A84" s="1737"/>
      <c r="D84" s="1738"/>
      <c r="K84" s="727"/>
      <c r="L84" s="727"/>
    </row>
    <row r="85" spans="1:12" s="789" customFormat="1">
      <c r="A85" s="1737"/>
      <c r="D85" s="1738"/>
      <c r="K85" s="727"/>
      <c r="L85" s="727"/>
    </row>
    <row r="86" spans="1:12" s="789" customFormat="1">
      <c r="A86" s="1737"/>
      <c r="D86" s="1738"/>
      <c r="K86" s="727"/>
      <c r="L86" s="727"/>
    </row>
    <row r="87" spans="1:12" s="789" customFormat="1">
      <c r="A87" s="1737"/>
      <c r="D87" s="1738"/>
      <c r="K87" s="727"/>
      <c r="L87" s="727"/>
    </row>
    <row r="88" spans="1:12" s="789" customFormat="1">
      <c r="A88" s="1737"/>
      <c r="D88" s="1738"/>
      <c r="K88" s="727"/>
      <c r="L88" s="727"/>
    </row>
    <row r="89" spans="1:12" s="789" customFormat="1">
      <c r="A89" s="1737"/>
      <c r="D89" s="1738"/>
      <c r="K89" s="727"/>
      <c r="L89" s="727"/>
    </row>
    <row r="90" spans="1:12" s="789" customFormat="1">
      <c r="A90" s="1737"/>
      <c r="D90" s="1738"/>
      <c r="K90" s="727"/>
      <c r="L90" s="727"/>
    </row>
    <row r="91" spans="1:12" s="789" customFormat="1">
      <c r="A91" s="1737"/>
      <c r="D91" s="1738"/>
      <c r="K91" s="727"/>
      <c r="L91" s="727"/>
    </row>
    <row r="92" spans="1:12" s="789" customFormat="1">
      <c r="A92" s="1737"/>
      <c r="D92" s="1738"/>
      <c r="K92" s="727"/>
      <c r="L92" s="727"/>
    </row>
    <row r="93" spans="1:12" s="789" customFormat="1">
      <c r="A93" s="1737"/>
      <c r="D93" s="1738"/>
      <c r="K93" s="727"/>
      <c r="L93" s="727"/>
    </row>
    <row r="94" spans="1:12" s="789" customFormat="1">
      <c r="A94" s="1737"/>
      <c r="D94" s="1738"/>
      <c r="K94" s="727"/>
      <c r="L94" s="727"/>
    </row>
    <row r="95" spans="1:12" s="789" customFormat="1">
      <c r="A95" s="1737"/>
      <c r="D95" s="1738"/>
      <c r="K95" s="727"/>
      <c r="L95" s="727"/>
    </row>
    <row r="96" spans="1:12" s="789" customFormat="1">
      <c r="A96" s="1737"/>
      <c r="D96" s="1738"/>
      <c r="K96" s="727"/>
      <c r="L96" s="727"/>
    </row>
    <row r="97" spans="1:12" s="789" customFormat="1">
      <c r="A97" s="1737"/>
      <c r="D97" s="1738"/>
      <c r="K97" s="727"/>
      <c r="L97" s="727"/>
    </row>
    <row r="98" spans="1:12" s="789" customFormat="1">
      <c r="A98" s="1737"/>
      <c r="D98" s="1738"/>
      <c r="K98" s="727"/>
      <c r="L98" s="727"/>
    </row>
    <row r="99" spans="1:12" s="789" customFormat="1">
      <c r="A99" s="1737"/>
      <c r="D99" s="1738"/>
      <c r="K99" s="727"/>
      <c r="L99" s="727"/>
    </row>
    <row r="100" spans="1:12" s="789" customFormat="1">
      <c r="A100" s="1737"/>
      <c r="D100" s="1738"/>
      <c r="K100" s="727"/>
      <c r="L100" s="727"/>
    </row>
    <row r="101" spans="1:12" s="789" customFormat="1">
      <c r="A101" s="1737"/>
      <c r="D101" s="1738"/>
      <c r="K101" s="727"/>
      <c r="L101" s="727"/>
    </row>
    <row r="102" spans="1:12" s="789" customFormat="1">
      <c r="A102" s="1737"/>
      <c r="D102" s="1738"/>
      <c r="K102" s="727"/>
      <c r="L102" s="727"/>
    </row>
    <row r="103" spans="1:12" s="789" customFormat="1">
      <c r="A103" s="1737"/>
      <c r="D103" s="1738"/>
      <c r="K103" s="727"/>
      <c r="L103" s="727"/>
    </row>
    <row r="104" spans="1:12" s="789" customFormat="1">
      <c r="A104" s="1737"/>
      <c r="D104" s="1738"/>
      <c r="K104" s="727"/>
      <c r="L104" s="727"/>
    </row>
    <row r="105" spans="1:12" s="789" customFormat="1">
      <c r="A105" s="1737"/>
      <c r="D105" s="1738"/>
      <c r="K105" s="727"/>
      <c r="L105" s="727"/>
    </row>
    <row r="106" spans="1:12" s="789" customFormat="1">
      <c r="A106" s="1737"/>
      <c r="D106" s="1738"/>
      <c r="K106" s="727"/>
      <c r="L106" s="727"/>
    </row>
    <row r="107" spans="1:12" s="789" customFormat="1">
      <c r="A107" s="1737"/>
      <c r="D107" s="1738"/>
      <c r="K107" s="727"/>
      <c r="L107" s="727"/>
    </row>
    <row r="108" spans="1:12" s="789" customFormat="1">
      <c r="A108" s="1737"/>
      <c r="D108" s="1738"/>
      <c r="K108" s="727"/>
      <c r="L108" s="727"/>
    </row>
    <row r="109" spans="1:12" s="789" customFormat="1">
      <c r="A109" s="1737"/>
      <c r="D109" s="1738"/>
      <c r="K109" s="727"/>
      <c r="L109" s="727"/>
    </row>
    <row r="110" spans="1:12" s="789" customFormat="1">
      <c r="A110" s="1737"/>
      <c r="D110" s="1738"/>
      <c r="K110" s="727"/>
      <c r="L110" s="727"/>
    </row>
    <row r="111" spans="1:12" s="789" customFormat="1">
      <c r="A111" s="1737"/>
      <c r="D111" s="1738"/>
      <c r="K111" s="727"/>
      <c r="L111" s="727"/>
    </row>
    <row r="112" spans="1:12" s="789" customFormat="1">
      <c r="A112" s="1737"/>
      <c r="D112" s="1738"/>
      <c r="K112" s="727"/>
      <c r="L112" s="727"/>
    </row>
    <row r="113" spans="1:12" s="789" customFormat="1">
      <c r="A113" s="1737"/>
      <c r="D113" s="1738"/>
      <c r="K113" s="727"/>
      <c r="L113" s="727"/>
    </row>
    <row r="114" spans="1:12" s="789" customFormat="1">
      <c r="A114" s="1737"/>
      <c r="D114" s="1738"/>
      <c r="K114" s="727"/>
      <c r="L114" s="727"/>
    </row>
    <row r="115" spans="1:12" s="789" customFormat="1">
      <c r="A115" s="1737"/>
      <c r="D115" s="1738"/>
      <c r="K115" s="727"/>
      <c r="L115" s="727"/>
    </row>
    <row r="116" spans="1:12" s="789" customFormat="1">
      <c r="A116" s="1737"/>
      <c r="D116" s="1738"/>
      <c r="K116" s="727"/>
      <c r="L116" s="727"/>
    </row>
    <row r="117" spans="1:12" s="789" customFormat="1">
      <c r="A117" s="1737"/>
      <c r="D117" s="1738"/>
      <c r="K117" s="727"/>
      <c r="L117" s="727"/>
    </row>
    <row r="118" spans="1:12" s="789" customFormat="1">
      <c r="A118" s="1737"/>
      <c r="D118" s="1738"/>
      <c r="K118" s="727"/>
      <c r="L118" s="727"/>
    </row>
    <row r="119" spans="1:12" s="789" customFormat="1">
      <c r="A119" s="1737"/>
      <c r="D119" s="1738"/>
      <c r="K119" s="727"/>
      <c r="L119" s="727"/>
    </row>
    <row r="120" spans="1:12" s="789" customFormat="1">
      <c r="A120" s="1737"/>
      <c r="D120" s="1738"/>
      <c r="K120" s="727"/>
      <c r="L120" s="727"/>
    </row>
    <row r="121" spans="1:12" s="789" customFormat="1">
      <c r="A121" s="1737"/>
      <c r="D121" s="1738"/>
      <c r="K121" s="727"/>
      <c r="L121" s="727"/>
    </row>
    <row r="122" spans="1:12" s="789" customFormat="1">
      <c r="A122" s="1737"/>
      <c r="D122" s="1738"/>
      <c r="K122" s="727"/>
      <c r="L122" s="727"/>
    </row>
    <row r="123" spans="1:12" s="789" customFormat="1">
      <c r="A123" s="1737"/>
      <c r="D123" s="1738"/>
      <c r="K123" s="727"/>
      <c r="L123" s="727"/>
    </row>
    <row r="124" spans="1:12" s="789" customFormat="1">
      <c r="A124" s="1737"/>
      <c r="D124" s="1738"/>
      <c r="K124" s="727"/>
      <c r="L124" s="727"/>
    </row>
    <row r="125" spans="1:12" s="789" customFormat="1">
      <c r="A125" s="1737"/>
      <c r="D125" s="1738"/>
      <c r="K125" s="727"/>
      <c r="L125" s="727"/>
    </row>
    <row r="126" spans="1:12" s="789" customFormat="1">
      <c r="A126" s="1737"/>
      <c r="D126" s="1738"/>
      <c r="K126" s="727"/>
      <c r="L126" s="727"/>
    </row>
    <row r="127" spans="1:12" s="789" customFormat="1">
      <c r="A127" s="1737"/>
      <c r="D127" s="1738"/>
      <c r="K127" s="727"/>
      <c r="L127" s="727"/>
    </row>
    <row r="128" spans="1:12" s="789" customFormat="1">
      <c r="A128" s="1737"/>
      <c r="D128" s="1738"/>
      <c r="K128" s="727"/>
      <c r="L128" s="727"/>
    </row>
    <row r="129" spans="1:12" s="789" customFormat="1">
      <c r="A129" s="1737"/>
      <c r="D129" s="1738"/>
      <c r="K129" s="727"/>
      <c r="L129" s="727"/>
    </row>
    <row r="130" spans="1:12" s="789" customFormat="1">
      <c r="A130" s="1737"/>
      <c r="D130" s="1738"/>
      <c r="K130" s="727"/>
      <c r="L130" s="727"/>
    </row>
    <row r="131" spans="1:12" s="789" customFormat="1">
      <c r="A131" s="1737"/>
      <c r="D131" s="1738"/>
      <c r="K131" s="727"/>
      <c r="L131" s="727"/>
    </row>
    <row r="132" spans="1:12" s="789" customFormat="1">
      <c r="A132" s="1737"/>
      <c r="D132" s="1738"/>
      <c r="K132" s="727"/>
      <c r="L132" s="727"/>
    </row>
    <row r="133" spans="1:12" s="789"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04" t="s">
        <v>2281</v>
      </c>
      <c r="B1" s="3605"/>
      <c r="C1" s="3605"/>
      <c r="D1" s="3605"/>
      <c r="E1" s="3605"/>
      <c r="F1" s="3605"/>
      <c r="G1" s="3605"/>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2247</v>
      </c>
      <c r="C3" s="2460" t="s">
        <v>2279</v>
      </c>
      <c r="D3" s="2461"/>
      <c r="E3" s="2438" t="s">
        <v>2278</v>
      </c>
      <c r="F3" s="2462" t="s">
        <v>2248</v>
      </c>
      <c r="G3" s="2463" t="s">
        <v>2280</v>
      </c>
      <c r="H3" s="795"/>
      <c r="I3" s="795"/>
      <c r="J3" s="795"/>
      <c r="K3" s="795"/>
      <c r="L3" s="795"/>
      <c r="M3" s="795"/>
      <c r="N3" s="795"/>
      <c r="O3" s="795"/>
      <c r="P3" s="795"/>
      <c r="Q3" s="795"/>
      <c r="R3" s="795"/>
    </row>
    <row r="4" spans="1:29" ht="36.75">
      <c r="A4" s="2438"/>
      <c r="B4" s="323" t="s">
        <v>2249</v>
      </c>
      <c r="C4" s="2464" t="s">
        <v>2250</v>
      </c>
      <c r="D4" s="2461"/>
      <c r="E4" s="2465"/>
      <c r="F4" s="1369" t="s">
        <v>2251</v>
      </c>
      <c r="G4" s="2466" t="s">
        <v>2252</v>
      </c>
      <c r="H4" s="795"/>
      <c r="I4" s="795"/>
      <c r="J4" s="795"/>
      <c r="K4" s="795"/>
      <c r="L4" s="795"/>
      <c r="M4" s="795"/>
      <c r="N4" s="795"/>
      <c r="O4" s="795"/>
      <c r="P4" s="795"/>
      <c r="Q4" s="795"/>
      <c r="R4" s="795"/>
    </row>
    <row r="5" spans="1:29" ht="36.75">
      <c r="A5" s="2438"/>
      <c r="B5" s="323" t="s">
        <v>2253</v>
      </c>
      <c r="C5" s="2464" t="s">
        <v>2254</v>
      </c>
      <c r="D5" s="2461"/>
      <c r="E5" s="2465"/>
      <c r="F5" s="323" t="s">
        <v>2255</v>
      </c>
      <c r="G5" s="2466" t="s">
        <v>2256</v>
      </c>
      <c r="H5" s="795"/>
      <c r="I5" s="795"/>
      <c r="J5" s="795"/>
      <c r="K5" s="795"/>
      <c r="L5" s="795"/>
      <c r="M5" s="795"/>
      <c r="N5" s="795"/>
      <c r="O5" s="795"/>
      <c r="P5" s="795"/>
      <c r="Q5" s="795"/>
      <c r="R5" s="795"/>
    </row>
    <row r="6" spans="1:29" ht="36">
      <c r="A6" s="2438"/>
      <c r="B6" s="323" t="s">
        <v>2257</v>
      </c>
      <c r="C6" s="2466" t="s">
        <v>2252</v>
      </c>
      <c r="D6" s="2461"/>
      <c r="E6" s="2465"/>
      <c r="F6" s="323" t="s">
        <v>2258</v>
      </c>
      <c r="G6" s="2466" t="s">
        <v>2259</v>
      </c>
      <c r="H6" s="795"/>
      <c r="I6" s="795"/>
      <c r="J6" s="795"/>
      <c r="K6" s="795"/>
      <c r="L6" s="795"/>
      <c r="M6" s="795"/>
      <c r="N6" s="795"/>
      <c r="O6" s="795"/>
      <c r="P6" s="795"/>
      <c r="Q6" s="795"/>
      <c r="R6" s="795"/>
    </row>
    <row r="7" spans="1:29" ht="24.75" thickBot="1">
      <c r="A7" s="2438"/>
      <c r="B7" s="323" t="s">
        <v>2255</v>
      </c>
      <c r="C7" s="2466" t="s">
        <v>2256</v>
      </c>
      <c r="D7" s="2467"/>
      <c r="E7" s="2468"/>
      <c r="F7" s="2469" t="s">
        <v>2260</v>
      </c>
      <c r="G7" s="2470" t="s">
        <v>2261</v>
      </c>
      <c r="H7" s="795"/>
      <c r="I7" s="795"/>
      <c r="J7" s="795"/>
      <c r="K7" s="795"/>
      <c r="L7" s="795"/>
      <c r="M7" s="795"/>
      <c r="N7" s="795"/>
      <c r="O7" s="795"/>
      <c r="P7" s="795"/>
      <c r="Q7" s="795"/>
      <c r="R7" s="795"/>
    </row>
    <row r="8" spans="1:29">
      <c r="A8" s="2438"/>
      <c r="B8" s="323" t="s">
        <v>2258</v>
      </c>
      <c r="C8" s="2466" t="s">
        <v>2259</v>
      </c>
      <c r="D8" s="2467"/>
      <c r="E8" s="2467"/>
      <c r="F8" s="2471"/>
      <c r="G8" s="2471"/>
      <c r="H8" s="795"/>
      <c r="I8" s="795"/>
      <c r="J8" s="795"/>
      <c r="K8" s="795"/>
      <c r="L8" s="795"/>
      <c r="M8" s="795"/>
      <c r="N8" s="795"/>
      <c r="O8" s="795"/>
      <c r="P8" s="795"/>
      <c r="Q8" s="795"/>
      <c r="R8" s="795"/>
    </row>
    <row r="9" spans="1:29" ht="24">
      <c r="A9" s="2438"/>
      <c r="B9" s="323"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09" customWidth="1"/>
    <col min="2" max="9" width="15.75" style="2509" customWidth="1"/>
    <col min="10" max="16384" width="9" style="2509"/>
  </cols>
  <sheetData>
    <row r="1" spans="1:11" ht="16.5">
      <c r="A1" s="2508" t="s">
        <v>664</v>
      </c>
      <c r="B1" s="2508">
        <f>SUM(B14:B23)</f>
        <v>3636.6</v>
      </c>
      <c r="C1" s="2682"/>
      <c r="D1" s="2682"/>
      <c r="E1" s="2682"/>
      <c r="F1" s="2682"/>
      <c r="G1" s="2683"/>
      <c r="H1" s="2684"/>
      <c r="I1" s="2684"/>
      <c r="J1" s="2684"/>
      <c r="K1" s="2684"/>
    </row>
    <row r="2" spans="1:11" ht="16.5">
      <c r="A2" s="2508" t="s">
        <v>652</v>
      </c>
      <c r="B2" s="2508">
        <f>SUM(C14:C23)</f>
        <v>0</v>
      </c>
      <c r="C2" s="2682"/>
      <c r="D2" s="2682"/>
      <c r="E2" s="2682"/>
      <c r="F2" s="2682"/>
      <c r="G2" s="2683"/>
      <c r="H2" s="2684"/>
      <c r="I2" s="2684"/>
      <c r="J2" s="2684"/>
      <c r="K2" s="2684"/>
    </row>
    <row r="3" spans="1:11" ht="16.5">
      <c r="A3" s="2508" t="s">
        <v>661</v>
      </c>
      <c r="B3" s="2510">
        <f>项目基本情况!D3</f>
        <v>45467</v>
      </c>
      <c r="C3" s="2682"/>
      <c r="D3" s="2682"/>
      <c r="E3" s="2682"/>
      <c r="F3" s="2682"/>
      <c r="G3" s="2683"/>
      <c r="H3" s="2684"/>
      <c r="I3" s="2684"/>
      <c r="J3" s="2684"/>
      <c r="K3" s="2684"/>
    </row>
    <row r="4" spans="1:11" ht="33">
      <c r="A4" s="2508" t="s">
        <v>660</v>
      </c>
      <c r="B4" s="2508" t="s">
        <v>659</v>
      </c>
      <c r="C4" s="2508" t="s">
        <v>658</v>
      </c>
      <c r="D4" s="2508" t="s">
        <v>657</v>
      </c>
      <c r="E4" s="2682"/>
      <c r="F4" s="2683"/>
      <c r="G4" s="2683"/>
      <c r="H4" s="2684"/>
      <c r="I4" s="2684"/>
      <c r="J4" s="2684"/>
      <c r="K4" s="2684"/>
    </row>
    <row r="5" spans="1:11" ht="16.5">
      <c r="A5" s="2508" t="s">
        <v>656</v>
      </c>
      <c r="B5" s="2508">
        <f ca="1">SUM(D14:D23)</f>
        <v>16360</v>
      </c>
      <c r="C5" s="2508">
        <f ca="1">IF(B5=D14,结果表!H102,ROUND(B5*10000/$B$1,0))</f>
        <v>8088</v>
      </c>
      <c r="D5" s="2508" t="e">
        <f ca="1">ROUND(B5*10000/$B$2,0)</f>
        <v>#DIV/0!</v>
      </c>
      <c r="E5" s="2682"/>
      <c r="F5" s="2683"/>
      <c r="G5" s="2683"/>
      <c r="H5" s="2684"/>
      <c r="I5" s="2684"/>
      <c r="J5" s="2684"/>
      <c r="K5" s="2684"/>
    </row>
    <row r="6" spans="1:11" ht="16.5">
      <c r="A6" s="2508" t="s">
        <v>655</v>
      </c>
      <c r="B6" s="2508">
        <f ca="1">SUM(G14:G23)</f>
        <v>16360</v>
      </c>
      <c r="C6" s="2508">
        <f ca="1">IF(B6=G14,结果表!H108,ROUND(B6*10000/$B$1,0))</f>
        <v>8088</v>
      </c>
      <c r="D6" s="2508" t="e">
        <f ca="1">ROUND(B6*10000/$B$2,0)</f>
        <v>#DIV/0!</v>
      </c>
      <c r="E6" s="2682"/>
      <c r="F6" s="2683"/>
      <c r="G6" s="2683"/>
      <c r="H6" s="2684"/>
      <c r="I6" s="2684"/>
      <c r="J6" s="2684"/>
      <c r="K6" s="2684"/>
    </row>
    <row r="7" spans="1:11" ht="16.5">
      <c r="A7" s="2508" t="s">
        <v>663</v>
      </c>
      <c r="B7" s="2508">
        <f>SUM(H14:H23)</f>
        <v>0</v>
      </c>
      <c r="C7" s="2508" t="str">
        <f>IF(B7=H14,结果表!H110,ROUND(B7*10000/$B$1,0))</f>
        <v>——</v>
      </c>
      <c r="D7" s="2508" t="e">
        <f>ROUND(B7*10000/$B$2,0)</f>
        <v>#DIV/0!</v>
      </c>
      <c r="E7" s="2682"/>
      <c r="F7" s="2683"/>
      <c r="G7" s="2683"/>
      <c r="H7" s="2684"/>
      <c r="I7" s="2684"/>
      <c r="J7" s="2684"/>
      <c r="K7" s="2684"/>
    </row>
    <row r="8" spans="1:11" ht="16.5">
      <c r="A8" s="2508" t="s">
        <v>586</v>
      </c>
      <c r="B8" s="2508">
        <f>SUM(I14:I23)</f>
        <v>0</v>
      </c>
      <c r="C8" s="2508">
        <f ca="1">IF(B8=I14,结果表!H112,ROUND(B8*10000/$B$1,0))</f>
        <v>7660</v>
      </c>
      <c r="D8" s="2508" t="e">
        <f>ROUND(B8*10000/$B$2,0)</f>
        <v>#DIV/0!</v>
      </c>
      <c r="E8" s="2682"/>
      <c r="F8" s="2683"/>
      <c r="G8" s="2683"/>
      <c r="H8" s="2684"/>
      <c r="I8" s="2684"/>
      <c r="J8" s="2684"/>
      <c r="K8" s="2684"/>
    </row>
    <row r="9" spans="1:11" ht="16.5">
      <c r="A9" s="2508" t="s">
        <v>654</v>
      </c>
      <c r="B9" s="2516"/>
      <c r="C9" s="2682"/>
      <c r="D9" s="2682"/>
      <c r="E9" s="2682"/>
      <c r="F9" s="2683"/>
      <c r="G9" s="2683"/>
      <c r="H9" s="2684"/>
      <c r="I9" s="2684"/>
      <c r="J9" s="2684"/>
      <c r="K9" s="2684"/>
    </row>
    <row r="10" spans="1:11" ht="16.5">
      <c r="A10" s="2508" t="s">
        <v>653</v>
      </c>
      <c r="B10" s="2508">
        <f>IF(E10="",0,ROUND(B1*(E10*365/G10)/10000,0))</f>
        <v>0</v>
      </c>
      <c r="C10" s="2508" t="s">
        <v>3353</v>
      </c>
      <c r="D10" s="2508" t="s">
        <v>3354</v>
      </c>
      <c r="E10" s="3436"/>
      <c r="F10" s="3440" t="s">
        <v>3355</v>
      </c>
      <c r="G10" s="3437"/>
      <c r="H10" s="2684"/>
      <c r="I10" s="2684"/>
      <c r="J10" s="2684"/>
      <c r="K10" s="2684"/>
    </row>
    <row r="11" spans="1:11" ht="16.5">
      <c r="A11" s="2508" t="s">
        <v>669</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668</v>
      </c>
      <c r="B13" s="2512" t="s">
        <v>665</v>
      </c>
      <c r="C13" s="2512" t="s">
        <v>667</v>
      </c>
      <c r="D13" s="2512" t="s">
        <v>666</v>
      </c>
      <c r="E13" s="2508" t="s">
        <v>658</v>
      </c>
      <c r="F13" s="2508" t="s">
        <v>657</v>
      </c>
      <c r="G13" s="2512" t="s">
        <v>651</v>
      </c>
      <c r="H13" s="2512" t="s">
        <v>662</v>
      </c>
      <c r="I13" s="2512" t="s">
        <v>650</v>
      </c>
      <c r="J13" s="2683"/>
      <c r="K13" s="2684"/>
    </row>
    <row r="14" spans="1:11" ht="16.5">
      <c r="A14" s="2513" t="s">
        <v>649</v>
      </c>
      <c r="B14" s="2514">
        <f>'数据-基础表'!G13</f>
        <v>3636.6</v>
      </c>
      <c r="C14" s="2514"/>
      <c r="D14" s="2514">
        <f ca="1">结果表!H107</f>
        <v>16360</v>
      </c>
      <c r="E14" s="2514">
        <f ca="1">ROUND(D14*10000/B14,0)</f>
        <v>44987</v>
      </c>
      <c r="F14" s="2514" t="e">
        <f ca="1">ROUND(D14*10000/C14,0)</f>
        <v>#DIV/0!</v>
      </c>
      <c r="G14" s="2514">
        <f ca="1">D14</f>
        <v>16360</v>
      </c>
      <c r="H14" s="2514"/>
      <c r="I14" s="2514"/>
      <c r="J14" s="2683"/>
      <c r="K14" s="2684"/>
    </row>
    <row r="15" spans="1:11" ht="16.5">
      <c r="A15" s="2513" t="s">
        <v>648</v>
      </c>
      <c r="B15" s="2515"/>
      <c r="C15" s="2515"/>
      <c r="D15" s="2515"/>
      <c r="E15" s="2514" t="e">
        <f t="shared" ref="E15:E23" si="0">ROUND(D15*10000/B15,0)</f>
        <v>#DIV/0!</v>
      </c>
      <c r="F15" s="2514" t="e">
        <f t="shared" ref="F15:F23" si="1">ROUND(D15*10000/C15,0)</f>
        <v>#DIV/0!</v>
      </c>
      <c r="G15" s="1327">
        <f>D15</f>
        <v>0</v>
      </c>
      <c r="H15" s="1327"/>
      <c r="I15" s="2515"/>
      <c r="J15" s="2683"/>
      <c r="K15" s="2684"/>
    </row>
    <row r="16" spans="1:11" ht="16.5">
      <c r="A16" s="2513" t="s">
        <v>647</v>
      </c>
      <c r="B16" s="2515"/>
      <c r="C16" s="2515"/>
      <c r="D16" s="2515"/>
      <c r="E16" s="2514" t="e">
        <f t="shared" si="0"/>
        <v>#DIV/0!</v>
      </c>
      <c r="F16" s="2514" t="e">
        <f t="shared" si="1"/>
        <v>#DIV/0!</v>
      </c>
      <c r="G16" s="1327"/>
      <c r="H16" s="1327"/>
      <c r="I16" s="2515"/>
      <c r="J16" s="2684"/>
      <c r="K16" s="2684"/>
    </row>
    <row r="17" spans="1:11" ht="16.5">
      <c r="A17" s="2513" t="s">
        <v>646</v>
      </c>
      <c r="B17" s="2515"/>
      <c r="C17" s="2515"/>
      <c r="D17" s="2515"/>
      <c r="E17" s="2514" t="e">
        <f t="shared" si="0"/>
        <v>#DIV/0!</v>
      </c>
      <c r="F17" s="2514" t="e">
        <f t="shared" si="1"/>
        <v>#DIV/0!</v>
      </c>
      <c r="G17" s="1327"/>
      <c r="H17" s="1327"/>
      <c r="I17" s="2515"/>
      <c r="J17" s="2684"/>
      <c r="K17" s="2684"/>
    </row>
    <row r="18" spans="1:11" ht="16.5">
      <c r="A18" s="2513" t="s">
        <v>645</v>
      </c>
      <c r="B18" s="2515"/>
      <c r="C18" s="2515"/>
      <c r="D18" s="2515"/>
      <c r="E18" s="2514" t="e">
        <f t="shared" si="0"/>
        <v>#DIV/0!</v>
      </c>
      <c r="F18" s="2514" t="e">
        <f t="shared" si="1"/>
        <v>#DIV/0!</v>
      </c>
      <c r="G18" s="2515"/>
      <c r="H18" s="2515"/>
      <c r="I18" s="2515"/>
      <c r="J18" s="2684"/>
      <c r="K18" s="2684"/>
    </row>
    <row r="19" spans="1:11" ht="16.5">
      <c r="A19" s="2513" t="s">
        <v>644</v>
      </c>
      <c r="B19" s="2515"/>
      <c r="C19" s="2515"/>
      <c r="D19" s="2515"/>
      <c r="E19" s="2514" t="e">
        <f t="shared" si="0"/>
        <v>#DIV/0!</v>
      </c>
      <c r="F19" s="2514" t="e">
        <f t="shared" si="1"/>
        <v>#DIV/0!</v>
      </c>
      <c r="G19" s="2515"/>
      <c r="H19" s="2515"/>
      <c r="I19" s="2515"/>
      <c r="J19" s="2684"/>
      <c r="K19" s="2684"/>
    </row>
    <row r="20" spans="1:11" ht="16.5">
      <c r="A20" s="2513" t="s">
        <v>643</v>
      </c>
      <c r="B20" s="2515"/>
      <c r="C20" s="2515"/>
      <c r="D20" s="2515"/>
      <c r="E20" s="2514" t="e">
        <f t="shared" si="0"/>
        <v>#DIV/0!</v>
      </c>
      <c r="F20" s="2514" t="e">
        <f t="shared" si="1"/>
        <v>#DIV/0!</v>
      </c>
      <c r="G20" s="2515"/>
      <c r="H20" s="2515"/>
      <c r="I20" s="2515"/>
      <c r="J20" s="2684"/>
      <c r="K20" s="2684"/>
    </row>
    <row r="21" spans="1:11" ht="16.5">
      <c r="A21" s="2513" t="s">
        <v>642</v>
      </c>
      <c r="B21" s="2515"/>
      <c r="C21" s="2515"/>
      <c r="D21" s="2515"/>
      <c r="E21" s="2514" t="e">
        <f t="shared" si="0"/>
        <v>#DIV/0!</v>
      </c>
      <c r="F21" s="2514" t="e">
        <f t="shared" si="1"/>
        <v>#DIV/0!</v>
      </c>
      <c r="G21" s="2515"/>
      <c r="H21" s="2515"/>
      <c r="I21" s="2515"/>
      <c r="J21" s="2684"/>
      <c r="K21" s="2684"/>
    </row>
    <row r="22" spans="1:11" ht="16.5">
      <c r="A22" s="2513" t="s">
        <v>641</v>
      </c>
      <c r="B22" s="2515"/>
      <c r="C22" s="2515"/>
      <c r="D22" s="2515"/>
      <c r="E22" s="2514" t="e">
        <f t="shared" si="0"/>
        <v>#DIV/0!</v>
      </c>
      <c r="F22" s="2514" t="e">
        <f t="shared" si="1"/>
        <v>#DIV/0!</v>
      </c>
      <c r="G22" s="2515"/>
      <c r="H22" s="2515"/>
      <c r="I22" s="2515"/>
      <c r="J22" s="2684"/>
      <c r="K22" s="2684"/>
    </row>
    <row r="23" spans="1:11" ht="16.5">
      <c r="A23" s="2513" t="s">
        <v>640</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5" sqref="H25"/>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c r="D1" s="1743"/>
      <c r="E1" s="1743"/>
      <c r="F1" s="1745" t="s">
        <v>1260</v>
      </c>
      <c r="G1" s="1557"/>
      <c r="H1" s="1746" t="str">
        <f>IF(G1="现房","——","估价对象范围")</f>
        <v>估价对象范围</v>
      </c>
      <c r="I1" s="1747"/>
    </row>
    <row r="2" spans="1:12" ht="21.75" customHeight="1" thickBot="1">
      <c r="A2" s="3640" t="str">
        <f>项目基本情况!S2</f>
        <v>北京市房地产</v>
      </c>
      <c r="B2" s="3641"/>
      <c r="C2" s="3641"/>
      <c r="D2" s="3641"/>
      <c r="E2" s="3641"/>
      <c r="F2" s="3641"/>
      <c r="G2" s="3641"/>
      <c r="H2" s="3641"/>
      <c r="I2" s="3642"/>
    </row>
    <row r="3" spans="1:12" ht="12.75">
      <c r="A3" s="3644" t="s">
        <v>1261</v>
      </c>
      <c r="B3" s="3645"/>
      <c r="C3" s="3645"/>
      <c r="D3" s="3645"/>
      <c r="E3" s="3645"/>
      <c r="F3" s="3645"/>
      <c r="G3" s="3645"/>
      <c r="H3" s="3645"/>
      <c r="I3" s="3645"/>
    </row>
    <row r="4" spans="1:12" ht="14.25">
      <c r="A4" s="1750" t="s">
        <v>1262</v>
      </c>
      <c r="B4" s="1751" t="s">
        <v>1263</v>
      </c>
      <c r="C4" s="1752" t="s">
        <v>3459</v>
      </c>
      <c r="D4" s="1752" t="s">
        <v>3501</v>
      </c>
      <c r="E4" s="3646" t="s">
        <v>1264</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0" t="s">
        <v>1265</v>
      </c>
      <c r="B5" s="3607">
        <v>25</v>
      </c>
      <c r="C5" s="3623"/>
      <c r="D5" s="3643"/>
      <c r="E5" s="131" t="s">
        <v>1266</v>
      </c>
      <c r="F5" s="1753"/>
      <c r="G5" s="1753"/>
      <c r="H5" s="1753"/>
      <c r="I5" s="1369"/>
    </row>
    <row r="6" spans="1:12" ht="12.75">
      <c r="A6" s="3620"/>
      <c r="B6" s="3607"/>
      <c r="C6" s="3624"/>
      <c r="D6" s="3643"/>
      <c r="E6" s="131" t="s">
        <v>1267</v>
      </c>
      <c r="F6" s="1753"/>
      <c r="G6" s="1753"/>
      <c r="H6" s="1753"/>
      <c r="I6" s="1369"/>
    </row>
    <row r="7" spans="1:12" ht="12.75">
      <c r="A7" s="3620"/>
      <c r="B7" s="3607"/>
      <c r="C7" s="3625"/>
      <c r="D7" s="3643"/>
      <c r="E7" s="131" t="s">
        <v>1268</v>
      </c>
      <c r="F7" s="1753"/>
      <c r="G7" s="1753"/>
      <c r="H7" s="1753"/>
      <c r="I7" s="1369"/>
    </row>
    <row r="8" spans="1:12" ht="12.75">
      <c r="A8" s="3620" t="s">
        <v>1269</v>
      </c>
      <c r="B8" s="3607">
        <v>15</v>
      </c>
      <c r="C8" s="3623"/>
      <c r="D8" s="3643"/>
      <c r="E8" s="131" t="s">
        <v>1270</v>
      </c>
      <c r="F8" s="1753"/>
      <c r="G8" s="1753"/>
      <c r="H8" s="1753"/>
      <c r="I8" s="1369"/>
    </row>
    <row r="9" spans="1:12" ht="12.75">
      <c r="A9" s="3620"/>
      <c r="B9" s="3607"/>
      <c r="C9" s="3625"/>
      <c r="D9" s="3643"/>
      <c r="E9" s="131" t="s">
        <v>1271</v>
      </c>
      <c r="F9" s="1753"/>
      <c r="G9" s="1753"/>
      <c r="H9" s="1753"/>
      <c r="I9" s="1369"/>
    </row>
    <row r="10" spans="1:12" ht="12.75">
      <c r="A10" s="3620" t="s">
        <v>1272</v>
      </c>
      <c r="B10" s="3607">
        <v>15</v>
      </c>
      <c r="C10" s="3623"/>
      <c r="D10" s="3643"/>
      <c r="E10" s="131" t="s">
        <v>1273</v>
      </c>
      <c r="F10" s="1753"/>
      <c r="G10" s="1753"/>
      <c r="H10" s="1753"/>
      <c r="I10" s="1369"/>
    </row>
    <row r="11" spans="1:12" ht="12.75">
      <c r="A11" s="3620"/>
      <c r="B11" s="3607"/>
      <c r="C11" s="3625"/>
      <c r="D11" s="3643"/>
      <c r="E11" s="131" t="s">
        <v>1274</v>
      </c>
      <c r="F11" s="1753"/>
      <c r="G11" s="1753"/>
      <c r="H11" s="1753"/>
      <c r="I11" s="1369"/>
    </row>
    <row r="12" spans="1:12" ht="12.75">
      <c r="A12" s="3620" t="s">
        <v>1275</v>
      </c>
      <c r="B12" s="3607">
        <v>15</v>
      </c>
      <c r="C12" s="3623"/>
      <c r="D12" s="3643"/>
      <c r="E12" s="131" t="s">
        <v>1276</v>
      </c>
      <c r="F12" s="1753"/>
      <c r="G12" s="1753"/>
      <c r="H12" s="1753"/>
      <c r="I12" s="1369"/>
    </row>
    <row r="13" spans="1:12" ht="12.75">
      <c r="A13" s="3620"/>
      <c r="B13" s="3607"/>
      <c r="C13" s="3625"/>
      <c r="D13" s="3643"/>
      <c r="E13" s="131" t="s">
        <v>1277</v>
      </c>
      <c r="F13" s="1753"/>
      <c r="G13" s="1753"/>
      <c r="H13" s="1753"/>
      <c r="I13" s="1369"/>
    </row>
    <row r="14" spans="1:12" ht="12.75">
      <c r="A14" s="3620" t="s">
        <v>1278</v>
      </c>
      <c r="B14" s="3607">
        <v>30</v>
      </c>
      <c r="C14" s="3623">
        <v>5</v>
      </c>
      <c r="D14" s="3643">
        <v>5</v>
      </c>
      <c r="E14" s="131" t="s">
        <v>1279</v>
      </c>
      <c r="F14" s="1753"/>
      <c r="G14" s="1753"/>
      <c r="H14" s="1753"/>
      <c r="I14" s="1369"/>
    </row>
    <row r="15" spans="1:12" ht="12.75">
      <c r="A15" s="3620"/>
      <c r="B15" s="3607"/>
      <c r="C15" s="3624"/>
      <c r="D15" s="3643"/>
      <c r="E15" s="131" t="s">
        <v>1280</v>
      </c>
      <c r="F15" s="1753"/>
      <c r="G15" s="1753"/>
      <c r="H15" s="1753"/>
      <c r="I15" s="1369"/>
    </row>
    <row r="16" spans="1:12" ht="12.75">
      <c r="A16" s="3620"/>
      <c r="B16" s="3607"/>
      <c r="C16" s="3625"/>
      <c r="D16" s="3643"/>
      <c r="E16" s="131" t="s">
        <v>1281</v>
      </c>
      <c r="F16" s="1753"/>
      <c r="G16" s="1753"/>
      <c r="H16" s="1753"/>
      <c r="I16" s="1369"/>
    </row>
    <row r="17" spans="1:36" ht="15">
      <c r="A17" s="1754" t="s">
        <v>1282</v>
      </c>
      <c r="B17" s="56"/>
      <c r="C17" s="132">
        <f>SUM(C5:C16)</f>
        <v>5</v>
      </c>
      <c r="D17" s="132">
        <f>SUM(D5:D16)</f>
        <v>5</v>
      </c>
      <c r="E17" s="129"/>
      <c r="F17" s="129"/>
      <c r="G17" s="129"/>
      <c r="H17" s="129"/>
      <c r="I17" s="129"/>
      <c r="K17" s="302"/>
      <c r="L17" s="302" t="s">
        <v>1283</v>
      </c>
      <c r="M17" s="302" t="s">
        <v>1284</v>
      </c>
    </row>
    <row r="18" spans="1:36" ht="31.9" customHeight="1" thickBot="1">
      <c r="A18" s="1755" t="s">
        <v>1285</v>
      </c>
      <c r="B18" s="1756"/>
      <c r="C18" s="133">
        <f>ROUND(C17/SUM(C17:D17),2)</f>
        <v>0.5</v>
      </c>
      <c r="D18" s="133">
        <f>1-C18</f>
        <v>0.5</v>
      </c>
      <c r="E18" s="3630" t="s">
        <v>2126</v>
      </c>
      <c r="F18" s="3631"/>
      <c r="G18" s="3631"/>
      <c r="H18" s="3631"/>
      <c r="I18" s="3631"/>
      <c r="K18" s="302" t="s">
        <v>1286</v>
      </c>
      <c r="L18" s="302">
        <f>IF(C1="",'数据-汇总表'!E3,SUMIF(项目类型,C1,'数据-汇总表'!E17:E26)+SUMIF(项目类型,C1,'数据-汇总表'!I17:I26))</f>
        <v>20228.239999999998</v>
      </c>
      <c r="M18" s="302">
        <f>IF(C1="",'数据-汇总表'!E3,SUMIF(项目类型,C1,'数据-汇总表'!E17:E26))</f>
        <v>20228.239999999998</v>
      </c>
    </row>
    <row r="19" spans="1:36" ht="15">
      <c r="A19" s="1757" t="s">
        <v>1287</v>
      </c>
      <c r="B19" s="1758" t="s">
        <v>1288</v>
      </c>
      <c r="C19" s="134">
        <f ca="1">SUMIF(INDIRECT("'"&amp;C4&amp;"'"&amp;"!A:A"),结果表!B19,INDIRECT("'"&amp;C4&amp;"'"&amp;"!B:B"))</f>
        <v>14430</v>
      </c>
      <c r="D19" s="135">
        <f ca="1">SUMIF(INDIRECT("'"&amp;D4&amp;"'"&amp;"!A:A"),结果表!B19,INDIRECT("'"&amp;D4&amp;"'"&amp;"!B:B"))</f>
        <v>18289</v>
      </c>
      <c r="E19" s="1757" t="s">
        <v>1289</v>
      </c>
      <c r="F19" s="1758" t="s">
        <v>1288</v>
      </c>
      <c r="G19" s="136">
        <f ca="1">ROUND(C19*$C$18+D19*$D$18,0)</f>
        <v>16360</v>
      </c>
      <c r="H19" s="1759" t="s">
        <v>1290</v>
      </c>
      <c r="I19" s="129"/>
      <c r="K19" s="302" t="s">
        <v>1291</v>
      </c>
      <c r="L19" s="302">
        <f>IF(C1="",'数据-汇总表'!D3,SUMIF(项目类型,C1,'数据-汇总表'!D17:D26)+SUMIF(项目类型,C1,'数据-汇总表'!H17:H27))</f>
        <v>73586.240000000005</v>
      </c>
      <c r="M19" s="302">
        <f>IF(C1="",'数据-汇总表'!D3,SUMIF(项目类型,C1,'数据-汇总表'!D17:D26))</f>
        <v>73586.240000000005</v>
      </c>
    </row>
    <row r="20" spans="1:36" ht="15">
      <c r="A20" s="1760"/>
      <c r="B20" s="1022" t="s">
        <v>1292</v>
      </c>
      <c r="C20" s="137">
        <f ca="1">SUMIF(INDIRECT("'"&amp;C4&amp;"'"&amp;"!A:A"),结果表!B20,INDIRECT("'"&amp;C4&amp;"'"&amp;"!B:B"))</f>
        <v>7134</v>
      </c>
      <c r="D20" s="138">
        <f ca="1">SUMIF(INDIRECT("'"&amp;D4&amp;"'"&amp;"!A:A"),结果表!B20,INDIRECT("'"&amp;D4&amp;"'"&amp;"!B:B"))</f>
        <v>9041</v>
      </c>
      <c r="E20" s="1760"/>
      <c r="F20" s="1022" t="s">
        <v>1292</v>
      </c>
      <c r="G20" s="139">
        <f ca="1">ROUND(C20*$C$18+D20*$D$18,0)</f>
        <v>8088</v>
      </c>
      <c r="H20" s="804" t="s">
        <v>1293</v>
      </c>
      <c r="I20" s="129"/>
    </row>
    <row r="21" spans="1:36" ht="15" customHeight="1" thickBot="1">
      <c r="A21" s="824"/>
      <c r="B21" s="1761" t="s">
        <v>1294</v>
      </c>
      <c r="C21" s="718">
        <f ca="1">ROUND(C19*10000/L19,0)</f>
        <v>1961</v>
      </c>
      <c r="D21" s="719">
        <f ca="1">ROUND(D19*10000/L19,0)</f>
        <v>2485</v>
      </c>
      <c r="E21" s="824"/>
      <c r="F21" s="1761" t="s">
        <v>1294</v>
      </c>
      <c r="G21" s="140">
        <f ca="1">ROUND(G19*10000/L19,0)</f>
        <v>2223</v>
      </c>
      <c r="H21" s="1762" t="s">
        <v>1293</v>
      </c>
      <c r="I21" s="129"/>
    </row>
    <row r="22" spans="1:36" ht="15" thickBot="1">
      <c r="A22" s="1684" t="s">
        <v>1295</v>
      </c>
      <c r="B22" s="1763"/>
      <c r="C22" s="1764"/>
      <c r="D22" s="720">
        <f ca="1">IF(C19&lt;D19,D19/C19-1,C19/D19-1)</f>
        <v>0.26742896742896738</v>
      </c>
      <c r="E22" s="129"/>
      <c r="F22" s="129"/>
      <c r="G22" s="129"/>
      <c r="H22" s="129"/>
      <c r="I22" s="129"/>
    </row>
    <row r="23" spans="1:36" ht="13.5" thickBot="1">
      <c r="A23" s="1743"/>
      <c r="B23" s="1743"/>
      <c r="C23" s="1743"/>
      <c r="D23" s="1743"/>
      <c r="E23" s="129"/>
      <c r="F23" s="129"/>
      <c r="G23" s="129"/>
      <c r="H23" s="129"/>
      <c r="I23" s="129"/>
    </row>
    <row r="24" spans="1:36" ht="14.25">
      <c r="A24" s="3614" t="s">
        <v>1296</v>
      </c>
      <c r="B24" s="1758" t="s">
        <v>1288</v>
      </c>
      <c r="C24" s="136">
        <f>IF(B30=0,0,D30)</f>
        <v>0</v>
      </c>
      <c r="D24" s="1765"/>
      <c r="E24" s="129"/>
      <c r="F24" s="129"/>
      <c r="G24" s="129"/>
      <c r="H24" s="129"/>
      <c r="I24" s="129"/>
    </row>
    <row r="25" spans="1:36" ht="14.25">
      <c r="A25" s="3615"/>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f ca="1">G20/0.66</f>
        <v>12254.545454545454</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f ca="1">IF(D32="总价",G19-C24,G20-C25)</f>
        <v>16360</v>
      </c>
      <c r="D32" s="1771" t="s">
        <v>3471</v>
      </c>
      <c r="E32" s="129"/>
      <c r="F32" s="129"/>
      <c r="G32" s="129"/>
      <c r="H32" s="129"/>
      <c r="I32" s="129"/>
    </row>
    <row r="33" spans="1:15" ht="15">
      <c r="A33" s="782" t="s">
        <v>1303</v>
      </c>
      <c r="B33" s="1772"/>
      <c r="C33" s="1773" t="s">
        <v>3448</v>
      </c>
      <c r="D33" s="1774" t="s">
        <v>3459</v>
      </c>
      <c r="E33" s="1775" t="s">
        <v>1304</v>
      </c>
      <c r="F33" s="1776" t="str">
        <f>IF(D32="楼面单价","取值（单价）","取值（总价）")</f>
        <v>取值（总价）</v>
      </c>
      <c r="G33" s="129"/>
      <c r="H33" s="129"/>
      <c r="I33" s="129"/>
    </row>
    <row r="34" spans="1:15" ht="15">
      <c r="A34" s="1777"/>
      <c r="B34" s="1778" t="s">
        <v>1305</v>
      </c>
      <c r="C34" s="148">
        <f ca="1">IF(C33="自定义",F34,C32-C35)</f>
        <v>10814</v>
      </c>
      <c r="D34" s="857">
        <f ca="1">IF(C33="自定义",ROUND(C34/C32,3),IF(C33="收益比率",SUMIF(INDIRECT("'"&amp;D33&amp;"'"&amp;"!b:b"),"土地收益比率",INDIRECT("'"&amp;D33&amp;"'"&amp;"!c:c")),SUMIF(INDIRECT("'"&amp;D33&amp;"'"&amp;"!b:b"),"土地成本比率",INDIRECT("'"&amp;D33&amp;"'"&amp;"!c:c"))))</f>
        <v>0.66100000000000003</v>
      </c>
      <c r="E34" s="1779" t="s">
        <v>1306</v>
      </c>
      <c r="F34" s="1326"/>
      <c r="G34" s="129"/>
      <c r="H34" s="129"/>
      <c r="I34" s="129"/>
    </row>
    <row r="35" spans="1:15" ht="15.75" thickBot="1">
      <c r="A35" s="1780"/>
      <c r="B35" s="1781" t="s">
        <v>1307</v>
      </c>
      <c r="C35" s="1166">
        <f ca="1">IF(C33="自定义",F35,ROUND(C32*D35,0))</f>
        <v>5546</v>
      </c>
      <c r="D35" s="1167">
        <f ca="1">IF(C33="自定义",ROUND(C35/C32,3),IF(C33="收益比率",SUMIF(INDIRECT("'"&amp;D33&amp;"'"&amp;"!b:b"),"建筑物收益比率",INDIRECT("'"&amp;D33&amp;"'"&amp;"!c:c")),SUMIF(INDIRECT("'"&amp;D33&amp;"'"&amp;"!b:b"),"建筑物成本比率",INDIRECT("'"&amp;D33&amp;"'"&amp;"!c:c"))))</f>
        <v>0.33900000000000002</v>
      </c>
      <c r="E35" s="1782" t="s">
        <v>1308</v>
      </c>
      <c r="F35" s="154"/>
      <c r="G35" s="129"/>
      <c r="H35" s="129"/>
      <c r="I35" s="129"/>
    </row>
    <row r="36" spans="1:15" ht="15.75" thickBot="1">
      <c r="A36" s="3634" t="s">
        <v>1309</v>
      </c>
      <c r="B36" s="1783" t="s">
        <v>1310</v>
      </c>
      <c r="C36" s="145"/>
      <c r="D36" s="1784"/>
      <c r="E36" s="1785"/>
      <c r="F36" s="1786"/>
      <c r="G36" s="129"/>
      <c r="H36" s="129"/>
      <c r="I36" s="129"/>
    </row>
    <row r="37" spans="1:15" ht="15.75" thickBot="1">
      <c r="A37" s="3635"/>
      <c r="B37" s="1670" t="s">
        <v>1311</v>
      </c>
      <c r="C37" s="147"/>
      <c r="D37" s="1135"/>
      <c r="E37" s="1135"/>
      <c r="F37" s="1786"/>
      <c r="G37" s="129"/>
      <c r="H37" s="129"/>
      <c r="I37" s="129"/>
    </row>
    <row r="38" spans="1:15" ht="15.75" thickBot="1">
      <c r="A38" s="3636"/>
      <c r="B38" s="1787" t="s">
        <v>1312</v>
      </c>
      <c r="C38" s="673"/>
      <c r="D38" s="1788" t="s">
        <v>1313</v>
      </c>
      <c r="E38" s="1135"/>
      <c r="F38" s="1786"/>
      <c r="G38" s="129"/>
      <c r="H38" s="129"/>
      <c r="I38" s="129"/>
    </row>
    <row r="39" spans="1:15" ht="15">
      <c r="A39" s="1760" t="s">
        <v>1314</v>
      </c>
      <c r="B39" s="1789" t="s">
        <v>1315</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11" t="s">
        <v>1323</v>
      </c>
      <c r="B45" s="3612"/>
      <c r="C45" s="3613"/>
      <c r="D45" s="155">
        <f ca="1">ROUND(H101*F45,0)</f>
        <v>16360</v>
      </c>
      <c r="E45" s="156" t="s">
        <v>1324</v>
      </c>
      <c r="F45" s="157">
        <v>1</v>
      </c>
      <c r="G45" s="158" t="s">
        <v>1325</v>
      </c>
      <c r="H45" s="129"/>
      <c r="I45" s="129"/>
      <c r="J45" s="3689" t="s">
        <v>1326</v>
      </c>
      <c r="K45" s="3689"/>
      <c r="L45" s="3689"/>
      <c r="M45" s="3689"/>
      <c r="N45" s="3689"/>
      <c r="O45" s="3689"/>
    </row>
    <row r="46" spans="1:15" ht="14.25" customHeight="1">
      <c r="A46" s="3608" t="s">
        <v>1327</v>
      </c>
      <c r="B46" s="3609"/>
      <c r="C46" s="3609"/>
      <c r="D46" s="3609"/>
      <c r="E46" s="3609"/>
      <c r="F46" s="3609"/>
      <c r="G46" s="3610"/>
      <c r="H46" s="1802"/>
      <c r="I46" s="159"/>
      <c r="J46" s="2519">
        <v>1</v>
      </c>
      <c r="K46" s="3670" t="s">
        <v>1328</v>
      </c>
      <c r="L46" s="3670"/>
      <c r="M46" s="3690"/>
      <c r="N46" s="3690"/>
      <c r="O46" s="3690"/>
    </row>
    <row r="47" spans="1:15" ht="12" customHeight="1">
      <c r="A47" s="160" t="s">
        <v>1329</v>
      </c>
      <c r="B47" s="161"/>
      <c r="C47" s="162"/>
      <c r="D47" s="1083" t="s">
        <v>1330</v>
      </c>
      <c r="E47" s="302" t="s">
        <v>1331</v>
      </c>
      <c r="F47" s="163" t="s">
        <v>1332</v>
      </c>
      <c r="G47" s="2542" t="s">
        <v>1333</v>
      </c>
      <c r="H47" s="2543"/>
      <c r="I47" s="159"/>
      <c r="J47" s="2519">
        <v>2</v>
      </c>
      <c r="K47" s="3670" t="s">
        <v>1334</v>
      </c>
      <c r="L47" s="3670"/>
      <c r="M47" s="3691">
        <f>'数据-取费表'!B2</f>
        <v>45467</v>
      </c>
      <c r="N47" s="3691"/>
      <c r="O47" s="3691"/>
    </row>
    <row r="48" spans="1:15" ht="25.5">
      <c r="A48" s="3639" t="s">
        <v>1335</v>
      </c>
      <c r="B48" s="3622"/>
      <c r="C48" s="3622"/>
      <c r="D48" s="2320">
        <f ca="1">IF(H48="情况1",0,IF(H48="情况2",D52,IF(H48="情况3",D53,IF(H48="情况4",D54))))</f>
        <v>857</v>
      </c>
      <c r="E48" s="2330" t="str">
        <f>IF(H48="情况4","(销售额-原购置价)×税（费）率","销售额×税（费）率")</f>
        <v>销售额×税（费）率</v>
      </c>
      <c r="F48" s="2544">
        <f>IF(H48="情况1","免征",'数据-取费表'!B41)</f>
        <v>5.5000000000000007E-2</v>
      </c>
      <c r="G48" s="2545" t="s">
        <v>1336</v>
      </c>
      <c r="H48" s="2546" t="s">
        <v>3479</v>
      </c>
      <c r="I48" s="1802"/>
      <c r="J48" s="2519">
        <v>3</v>
      </c>
      <c r="K48" s="3670" t="s">
        <v>1337</v>
      </c>
      <c r="L48" s="3670"/>
      <c r="M48" s="3692">
        <f ca="1">H101</f>
        <v>16360</v>
      </c>
      <c r="N48" s="3692"/>
      <c r="O48" s="3692"/>
    </row>
    <row r="49" spans="1:35" ht="25.5" customHeight="1">
      <c r="A49" s="2329" t="s">
        <v>1338</v>
      </c>
      <c r="B49" s="3606" t="s">
        <v>1339</v>
      </c>
      <c r="C49" s="3606"/>
      <c r="D49" s="1586">
        <v>0</v>
      </c>
      <c r="E49" s="324" t="s">
        <v>1340</v>
      </c>
      <c r="F49" s="2420" t="s">
        <v>28</v>
      </c>
      <c r="G49" s="3676"/>
      <c r="H49" s="2306" t="s">
        <v>2129</v>
      </c>
      <c r="I49" s="2307"/>
      <c r="J49" s="2519">
        <v>4</v>
      </c>
      <c r="K49" s="3670" t="str">
        <f>IF(项目基本情况!E8="房地产抵押价值","房地产抵押价值","抵押担保权已注销时的房地产抵押价值")</f>
        <v>房地产抵押价值</v>
      </c>
      <c r="L49" s="3670"/>
      <c r="M49" s="3692">
        <f ca="1">IF(项目基本情况!E8="房地产抵押价值",H107,H109)</f>
        <v>16360</v>
      </c>
      <c r="N49" s="3692"/>
      <c r="O49" s="3692"/>
    </row>
    <row r="50" spans="1:35" ht="25.5" customHeight="1">
      <c r="A50" s="2547"/>
      <c r="B50" s="3606" t="s">
        <v>1341</v>
      </c>
      <c r="C50" s="3606"/>
      <c r="D50" s="2548"/>
      <c r="E50" s="332"/>
      <c r="F50" s="2420"/>
      <c r="G50" s="3677"/>
      <c r="H50" s="2308" t="s">
        <v>2130</v>
      </c>
      <c r="I50" s="2307"/>
      <c r="J50" s="3689" t="s">
        <v>1342</v>
      </c>
      <c r="K50" s="3689"/>
      <c r="L50" s="3689"/>
      <c r="M50" s="3689"/>
      <c r="N50" s="3689"/>
      <c r="O50" s="3689"/>
    </row>
    <row r="51" spans="1:35" ht="20.45" customHeight="1">
      <c r="A51" s="2549"/>
      <c r="B51" s="3606" t="s">
        <v>1343</v>
      </c>
      <c r="C51" s="3606"/>
      <c r="D51" s="1083"/>
      <c r="E51" s="327"/>
      <c r="F51" s="2420"/>
      <c r="G51" s="3678"/>
      <c r="H51" s="2308" t="s">
        <v>2131</v>
      </c>
      <c r="I51" s="2307"/>
      <c r="J51" s="2520" t="s">
        <v>1344</v>
      </c>
      <c r="K51" s="3670" t="s">
        <v>1345</v>
      </c>
      <c r="L51" s="3670"/>
      <c r="M51" s="2520" t="s">
        <v>1346</v>
      </c>
      <c r="N51" s="2520" t="s">
        <v>1347</v>
      </c>
      <c r="O51" s="2520" t="s">
        <v>1348</v>
      </c>
    </row>
    <row r="52" spans="1:35" ht="24" customHeight="1">
      <c r="A52" s="2331" t="s">
        <v>1349</v>
      </c>
      <c r="B52" s="3606" t="s">
        <v>1350</v>
      </c>
      <c r="C52" s="3606"/>
      <c r="D52" s="1083">
        <f ca="1">ROUND(D45*'数据-取费表'!B41/(1+'数据-取费表'!C42),0)</f>
        <v>857</v>
      </c>
      <c r="E52" s="2330" t="s">
        <v>1351</v>
      </c>
      <c r="F52" s="2550">
        <f>'数据-取费表'!B41</f>
        <v>5.5000000000000007E-2</v>
      </c>
      <c r="G52" s="2551"/>
      <c r="H52" s="2540"/>
      <c r="I52" s="1803"/>
      <c r="J52" s="2519">
        <v>1</v>
      </c>
      <c r="K52" s="3671" t="s">
        <v>1352</v>
      </c>
      <c r="L52" s="3671"/>
      <c r="M52" s="2521">
        <f ca="1">D48</f>
        <v>857</v>
      </c>
      <c r="N52" s="2519" t="str">
        <f>E48</f>
        <v>销售额×税（费）率</v>
      </c>
      <c r="O52" s="2522">
        <f>F48</f>
        <v>5.5000000000000007E-2</v>
      </c>
    </row>
    <row r="53" spans="1:35" ht="12" customHeight="1">
      <c r="A53" s="2331" t="s">
        <v>1353</v>
      </c>
      <c r="B53" s="3632" t="s">
        <v>2286</v>
      </c>
      <c r="C53" s="3633"/>
      <c r="D53" s="1083">
        <f ca="1">ROUND(D45*'数据-取费表'!B41/(1+'数据-取费表'!C42),0)</f>
        <v>857</v>
      </c>
      <c r="E53" s="2330" t="s">
        <v>1351</v>
      </c>
      <c r="F53" s="2550">
        <f>'数据-取费表'!B41</f>
        <v>5.5000000000000007E-2</v>
      </c>
      <c r="G53" s="2551"/>
      <c r="H53" s="2540"/>
      <c r="I53" s="1803"/>
      <c r="J53" s="2519">
        <v>2</v>
      </c>
      <c r="K53" s="3671" t="s">
        <v>1354</v>
      </c>
      <c r="L53" s="3671"/>
      <c r="M53" s="2521">
        <f t="shared" ref="M53:O54" ca="1" si="0">D55</f>
        <v>8</v>
      </c>
      <c r="N53" s="2519" t="str">
        <f t="shared" si="0"/>
        <v>销售额×税（费）率</v>
      </c>
      <c r="O53" s="2522">
        <f t="shared" si="0"/>
        <v>5.0000000000000001E-4</v>
      </c>
    </row>
    <row r="54" spans="1:35" ht="12" customHeight="1">
      <c r="A54" s="2331" t="s">
        <v>1355</v>
      </c>
      <c r="B54" s="3632" t="s">
        <v>2287</v>
      </c>
      <c r="C54" s="3633"/>
      <c r="D54" s="1083">
        <f ca="1">C68</f>
        <v>857</v>
      </c>
      <c r="E54" s="327" t="s">
        <v>1356</v>
      </c>
      <c r="F54" s="2550">
        <f>'数据-取费表'!B41</f>
        <v>5.5000000000000007E-2</v>
      </c>
      <c r="G54" s="2551"/>
      <c r="H54" s="2552"/>
      <c r="I54" s="1803"/>
      <c r="J54" s="2519">
        <v>3</v>
      </c>
      <c r="K54" s="3671" t="s">
        <v>1357</v>
      </c>
      <c r="L54" s="3671"/>
      <c r="M54" s="2521">
        <f t="shared" ca="1" si="0"/>
        <v>0</v>
      </c>
      <c r="N54" s="2519" t="str">
        <f t="shared" si="0"/>
        <v>增值额×税（费）率</v>
      </c>
      <c r="O54" s="2523" t="str">
        <f t="shared" si="0"/>
        <v>——</v>
      </c>
      <c r="Q54" s="724">
        <f ca="1">M49*0.05/1.05</f>
        <v>779.04761904761904</v>
      </c>
    </row>
    <row r="55" spans="1:35" ht="24" customHeight="1">
      <c r="A55" s="3621" t="s">
        <v>1358</v>
      </c>
      <c r="B55" s="3622"/>
      <c r="C55" s="3622"/>
      <c r="D55" s="2320">
        <f ca="1">IF(H55="个人住宅",0,ROUND(D45*I55,0))</f>
        <v>8</v>
      </c>
      <c r="E55" s="2330" t="s">
        <v>1359</v>
      </c>
      <c r="F55" s="2550">
        <f>IF(H55="正常",I55,"免征")</f>
        <v>5.0000000000000001E-4</v>
      </c>
      <c r="G55" s="2551"/>
      <c r="H55" s="2546" t="s">
        <v>3392</v>
      </c>
      <c r="I55" s="165">
        <f>'数据-取费表'!B49</f>
        <v>5.0000000000000001E-4</v>
      </c>
      <c r="J55" s="2519" t="str">
        <f>IF(H59="非个人房产","",4)</f>
        <v/>
      </c>
      <c r="K55" s="3671" t="str">
        <f>IF(H59="非个人房产","——","个人所得税")</f>
        <v>——</v>
      </c>
      <c r="L55" s="3671"/>
      <c r="M55" s="2524" t="str">
        <f>D59</f>
        <v>——</v>
      </c>
      <c r="N55" s="2036" t="str">
        <f>E59</f>
        <v>——</v>
      </c>
      <c r="O55" s="2525" t="str">
        <f>F59</f>
        <v>——</v>
      </c>
    </row>
    <row r="56" spans="1:35" ht="24.75">
      <c r="A56" s="3621" t="s">
        <v>1360</v>
      </c>
      <c r="B56" s="3622"/>
      <c r="C56" s="3622"/>
      <c r="D56" s="2320">
        <f ca="1">IF(H56="个人住宅",D57,D58)</f>
        <v>0</v>
      </c>
      <c r="E56" s="2330" t="s">
        <v>1361</v>
      </c>
      <c r="F56" s="2550" t="str">
        <f>IF(H56="正常",F58,"免征")</f>
        <v>——</v>
      </c>
      <c r="G56" s="2553" t="s">
        <v>1362</v>
      </c>
      <c r="H56" s="2554" t="s">
        <v>3392</v>
      </c>
      <c r="I56" s="1804"/>
      <c r="J56" s="2519" t="str">
        <f>IF(项目基本情况!K6="上海银行",IF(J55="",4,J55+1),"")</f>
        <v/>
      </c>
      <c r="K56" s="3694" t="str">
        <f>IF(项目基本情况!K6="上海银行","其他处置费用","")</f>
        <v/>
      </c>
      <c r="L56" s="3695"/>
      <c r="M56" s="2521" t="str">
        <f>IF(项目基本情况!K6="上海银行",M69,"")</f>
        <v/>
      </c>
      <c r="N56" s="3694" t="str">
        <f>IF(项目基本情况!K6="上海银行","包含处置中涉及的律师、诉讼、拍卖、评估等费用","")</f>
        <v/>
      </c>
      <c r="O56" s="3697"/>
    </row>
    <row r="57" spans="1:35" ht="12.75">
      <c r="A57" s="2331" t="s">
        <v>1338</v>
      </c>
      <c r="B57" s="3632" t="s">
        <v>1363</v>
      </c>
      <c r="C57" s="3633"/>
      <c r="D57" s="1586">
        <v>0</v>
      </c>
      <c r="E57" s="324" t="s">
        <v>1340</v>
      </c>
      <c r="F57" s="302"/>
      <c r="G57" s="2551"/>
      <c r="H57" s="2555"/>
      <c r="I57" s="1804"/>
      <c r="J57" s="3671">
        <f>IF(AND(J55="",J56=""),4,IF(项目基本情况!K6="上海银行",结果表!J56+1,结果表!J55+1))</f>
        <v>4</v>
      </c>
      <c r="K57" s="3671" t="s">
        <v>1364</v>
      </c>
      <c r="L57" s="2526" t="s">
        <v>1365</v>
      </c>
      <c r="M57" s="2527"/>
      <c r="N57" s="2528">
        <f ca="1">SUMIF(M52:M56,"&lt;9e307")</f>
        <v>865</v>
      </c>
      <c r="O57" s="2529"/>
      <c r="P57" s="2686">
        <f ca="1">N57/M49</f>
        <v>5.2872860635696822E-2</v>
      </c>
    </row>
    <row r="58" spans="1:35" ht="24.75">
      <c r="A58" s="2331" t="s">
        <v>1349</v>
      </c>
      <c r="B58" s="3632" t="s">
        <v>1366</v>
      </c>
      <c r="C58" s="3606"/>
      <c r="D58" s="2320">
        <f ca="1">IF(H58="转让取得",C81,C97)</f>
        <v>0</v>
      </c>
      <c r="E58" s="2330" t="s">
        <v>1361</v>
      </c>
      <c r="F58" s="302" t="s">
        <v>28</v>
      </c>
      <c r="G58" s="2551"/>
      <c r="H58" s="2554" t="s">
        <v>3480</v>
      </c>
      <c r="I58" s="1804"/>
      <c r="J58" s="3671"/>
      <c r="K58" s="3671"/>
      <c r="L58" s="2526" t="s">
        <v>1367</v>
      </c>
      <c r="M58" s="2530"/>
      <c r="N58" s="2531" t="str">
        <f ca="1">NUMBERSTRING(INT(N57*10000),2)&amp;"元整"</f>
        <v>捌佰陆拾伍万元整</v>
      </c>
      <c r="O58" s="2532"/>
    </row>
    <row r="59" spans="1:35" ht="24.75" thickBot="1">
      <c r="A59" s="3674" t="s">
        <v>1368</v>
      </c>
      <c r="B59" s="3675"/>
      <c r="C59" s="3675"/>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1362</v>
      </c>
      <c r="H59" s="2310" t="s">
        <v>3481</v>
      </c>
      <c r="I59" s="2309" t="s">
        <v>2132</v>
      </c>
      <c r="J59" s="3672">
        <f>J57+1</f>
        <v>5</v>
      </c>
      <c r="K59" s="3671" t="s">
        <v>1369</v>
      </c>
      <c r="L59" s="2519" t="s">
        <v>1365</v>
      </c>
      <c r="M59" s="2533"/>
      <c r="N59" s="2534">
        <f ca="1">M49-N57</f>
        <v>15495</v>
      </c>
      <c r="O59" s="2535"/>
    </row>
    <row r="60" spans="1:35" ht="12" customHeight="1">
      <c r="A60" s="1805"/>
      <c r="B60" s="1743"/>
      <c r="C60" s="1743"/>
      <c r="D60" s="1743"/>
      <c r="E60" s="1574"/>
      <c r="F60" s="1804"/>
      <c r="G60" s="1804"/>
      <c r="H60" s="1806"/>
      <c r="I60" s="129"/>
      <c r="J60" s="3673"/>
      <c r="K60" s="3671"/>
      <c r="L60" s="2526" t="s">
        <v>1367</v>
      </c>
      <c r="M60" s="2530"/>
      <c r="N60" s="2531" t="str">
        <f ca="1">NUMBERSTRING(INT(N59*10000),2)&amp;"元整"</f>
        <v>壹亿伍仟肆佰玖拾伍万元整</v>
      </c>
      <c r="O60" s="2532"/>
    </row>
    <row r="61" spans="1:35" ht="13.5" thickBot="1">
      <c r="A61" s="3619" t="s">
        <v>1370</v>
      </c>
      <c r="B61" s="3619"/>
      <c r="C61" s="3619"/>
      <c r="D61" s="3619"/>
      <c r="E61" s="3619"/>
      <c r="F61" s="1804"/>
      <c r="G61" s="1804"/>
      <c r="H61" s="1806"/>
      <c r="I61" s="129"/>
      <c r="J61" s="2519">
        <f>J59+1</f>
        <v>6</v>
      </c>
      <c r="K61" s="3671" t="s">
        <v>1371</v>
      </c>
      <c r="L61" s="3671"/>
      <c r="M61" s="2536"/>
      <c r="N61" s="2537">
        <f ca="1">ROUND(N59*10000/'数据-汇总表'!E3,0)</f>
        <v>7660</v>
      </c>
      <c r="O61" s="2538"/>
    </row>
    <row r="62" spans="1:35" ht="12.75">
      <c r="A62" s="3637" t="s">
        <v>1372</v>
      </c>
      <c r="B62" s="3638"/>
      <c r="C62" s="2017"/>
      <c r="D62" s="2017" t="s">
        <v>1373</v>
      </c>
      <c r="E62" s="166" t="s">
        <v>1374</v>
      </c>
      <c r="F62" s="1804"/>
      <c r="G62" s="1804"/>
      <c r="H62" s="1806"/>
      <c r="I62" s="129"/>
    </row>
    <row r="63" spans="1:35" ht="12.75">
      <c r="A63" s="173" t="s">
        <v>329</v>
      </c>
      <c r="B63" s="167" t="s">
        <v>1375</v>
      </c>
      <c r="C63" s="2560">
        <f ca="1">ROUND((C64+C65)/(1+'数据-取费表'!C42),0)</f>
        <v>15581</v>
      </c>
      <c r="D63" s="167"/>
      <c r="E63" s="168"/>
      <c r="F63" s="1804"/>
      <c r="G63" s="1804"/>
      <c r="H63" s="1806"/>
      <c r="I63" s="129"/>
      <c r="J63" s="3696" t="s">
        <v>1376</v>
      </c>
      <c r="K63" s="1328" t="s">
        <v>1377</v>
      </c>
      <c r="L63" s="1328">
        <f ca="1">IF(M49&gt;10000,M49*0.5%,IF(AND(M49&gt;1000,M49&lt;=10000),M49*1%,IF(AND(M49&gt;100,M49&lt;=1000),M49*3%,IF(AND(M49&gt;10,M49&lt;=100),M49*5%,M49*8%))))</f>
        <v>81.8</v>
      </c>
      <c r="M63" s="302">
        <f ca="1">ROUND(L63,1)</f>
        <v>81.8</v>
      </c>
      <c r="N63" s="2539"/>
      <c r="Z63" s="1748"/>
      <c r="AI63" s="1749"/>
    </row>
    <row r="64" spans="1:35" ht="14.25" customHeight="1">
      <c r="A64" s="169" t="s">
        <v>324</v>
      </c>
      <c r="B64" s="170" t="s">
        <v>1378</v>
      </c>
      <c r="C64" s="2561">
        <f ca="1">D45</f>
        <v>16360</v>
      </c>
      <c r="D64" s="170" t="s">
        <v>26</v>
      </c>
      <c r="E64" s="172"/>
      <c r="F64" s="1804"/>
      <c r="G64" s="1804"/>
      <c r="H64" s="1806"/>
      <c r="I64" s="129"/>
      <c r="J64" s="3696"/>
      <c r="K64" s="1328" t="s">
        <v>1379</v>
      </c>
      <c r="L64" s="1328">
        <f ca="1">IF(M49&gt;2000,M49*0.5%,IF(AND(M49&gt;1000,M49&lt;=2000),M49*0.6%,IF(AND(M49&gt;500,M49&lt;=1000),M49*0.7%,IF(AND(M49&gt;200,M49&lt;=500),M49*0.8%,IF(AND(M49&gt;100,M49&lt;=200),M49*0.9%,IF(AND(M49&gt;50,M49&lt;=100),M49*1%,IF(AND(M49&gt;20,M49&lt;=50),M49*1.5%,IF(AND(M49&gt;10,M49&lt;=20),M49*2%,IF(AND(M49&gt;1,M49&lt;=10),M49*2.5%)))))))))</f>
        <v>81.8</v>
      </c>
      <c r="M64" s="302">
        <f t="shared" ref="M64:M65" ca="1" si="1">ROUND(L64,1)</f>
        <v>81.8</v>
      </c>
      <c r="N64" s="2540" t="s">
        <v>1380</v>
      </c>
      <c r="Z64" s="1748"/>
      <c r="AI64" s="1749"/>
    </row>
    <row r="65" spans="1:35" ht="14.25" customHeight="1">
      <c r="A65" s="169" t="s">
        <v>325</v>
      </c>
      <c r="B65" s="170" t="s">
        <v>1381</v>
      </c>
      <c r="C65" s="2562"/>
      <c r="D65" s="170"/>
      <c r="E65" s="172"/>
      <c r="F65" s="1804"/>
      <c r="G65" s="1804"/>
      <c r="H65" s="1806"/>
      <c r="I65" s="129"/>
      <c r="J65" s="3696"/>
      <c r="K65" s="1328" t="s">
        <v>1382</v>
      </c>
      <c r="L65" s="1328">
        <f ca="1">IF(M49&gt;1000,M49*0.1%,IF(AND(M49&gt;500,M49&lt;=1000),M49*0.5%,IF(AND(M49&gt;50,M49&lt;=500),M49*1%,IF(AND(M49&gt;1,M49&lt;=50),M49*1.5%))))</f>
        <v>16.36</v>
      </c>
      <c r="M65" s="302">
        <f t="shared" ca="1" si="1"/>
        <v>16.399999999999999</v>
      </c>
      <c r="N65" s="2540" t="s">
        <v>1380</v>
      </c>
      <c r="Z65" s="1748"/>
      <c r="AI65" s="1749"/>
    </row>
    <row r="66" spans="1:35" ht="14.25" customHeight="1">
      <c r="A66" s="173" t="s">
        <v>326</v>
      </c>
      <c r="B66" s="174" t="s">
        <v>1383</v>
      </c>
      <c r="C66" s="2563"/>
      <c r="D66" s="174" t="s">
        <v>26</v>
      </c>
      <c r="E66" s="1334" t="s">
        <v>670</v>
      </c>
      <c r="F66" s="1804"/>
      <c r="G66" s="1804"/>
      <c r="H66" s="1806"/>
      <c r="I66" s="129"/>
      <c r="J66" s="3696"/>
      <c r="K66" s="1328" t="s">
        <v>1384</v>
      </c>
      <c r="L66" s="1328">
        <f ca="1">M49*0.5%</f>
        <v>81.8</v>
      </c>
      <c r="M66" s="302">
        <f ca="1">IF(L66&gt;0.5,0.5,ROUND(L66,0))</f>
        <v>0.5</v>
      </c>
      <c r="N66" s="2540" t="s">
        <v>1385</v>
      </c>
      <c r="Z66" s="1748"/>
      <c r="AI66" s="1749"/>
    </row>
    <row r="67" spans="1:35" ht="14.25" customHeight="1">
      <c r="A67" s="173" t="s">
        <v>327</v>
      </c>
      <c r="B67" s="174" t="s">
        <v>1386</v>
      </c>
      <c r="C67" s="2564">
        <f ca="1">C63-C66</f>
        <v>15581</v>
      </c>
      <c r="D67" s="170" t="s">
        <v>26</v>
      </c>
      <c r="E67" s="172"/>
      <c r="F67" s="1804"/>
      <c r="G67" s="1804"/>
      <c r="H67" s="1806"/>
      <c r="I67" s="129"/>
      <c r="J67" s="3696"/>
      <c r="K67" s="1328" t="s">
        <v>1387</v>
      </c>
      <c r="L67" s="1328">
        <f ca="1">IF(M49&gt;=10000,(8.25+(M49-10000)*0.01%),IF(AND(M49&gt;=8000,M49&lt;10000),(7.85+(M49-8000)*0.02%),IF(AND(M49&gt;=5000,M49&lt;8000),(6.65+(M49-5000)*0.04%),IF(AND(M49&gt;=2000,M49&lt;5000),(4.25+(PM49-2000)*0.08%),IF(AND(M49&gt;=1000,M49&lt;2000),(2.75+(M49-1000)*0.15%),IF(AND(M49&gt;=100,M49&lt;1000),(0.5+(M49-100)*0.25%),IF(AND(M49&gt;0,M49&lt;100),M49*0.5%)))))))</f>
        <v>8.8859999999999992</v>
      </c>
      <c r="M67" s="302">
        <f ca="1">ROUND(L67*0.9,1)</f>
        <v>8</v>
      </c>
      <c r="N67" s="2539"/>
      <c r="Z67" s="1748"/>
      <c r="AI67" s="1749"/>
    </row>
    <row r="68" spans="1:35" ht="14.25" customHeight="1" thickBot="1">
      <c r="A68" s="176" t="s">
        <v>328</v>
      </c>
      <c r="B68" s="177" t="s">
        <v>1388</v>
      </c>
      <c r="C68" s="2565">
        <f ca="1">IF(C67&lt;=0,0,ROUND(C67*D68,0))</f>
        <v>857</v>
      </c>
      <c r="D68" s="2566">
        <f>'数据-取费表'!B41</f>
        <v>5.5000000000000007E-2</v>
      </c>
      <c r="E68" s="178"/>
      <c r="F68" s="1804"/>
      <c r="G68" s="1804"/>
      <c r="H68" s="1806"/>
      <c r="I68" s="129"/>
      <c r="J68" s="3696"/>
      <c r="K68" s="1328" t="s">
        <v>1389</v>
      </c>
      <c r="L68" s="1328">
        <f ca="1">IF(M49&gt;10000,M49*0.5%,IF(AND(M49&gt;5000,M49&lt;=10000),M49*1%,IF(AND(M49&gt;1000,M49&lt;=5000),M49*2%,IF(AND(M49&gt;200,M49&lt;=1000),M49*3%,M49*5%))))</f>
        <v>81.8</v>
      </c>
      <c r="M68" s="302">
        <f ca="1">ROUND(L68,1)</f>
        <v>81.8</v>
      </c>
      <c r="N68" s="2539"/>
      <c r="Z68" s="1748"/>
      <c r="AI68" s="1749"/>
    </row>
    <row r="69" spans="1:35" s="1768" customFormat="1" ht="16.5" customHeight="1">
      <c r="A69" s="1807"/>
      <c r="B69" s="1808"/>
      <c r="C69" s="1809"/>
      <c r="D69" s="1810"/>
      <c r="E69" s="1811"/>
      <c r="F69" s="1574"/>
      <c r="G69" s="1574"/>
      <c r="H69" s="1573"/>
      <c r="I69" s="1743"/>
      <c r="J69" s="3696"/>
      <c r="K69" s="1328" t="s">
        <v>1390</v>
      </c>
      <c r="L69" s="1328"/>
      <c r="M69" s="302">
        <f ca="1">ROUND(SUM(M63:M68),0)</f>
        <v>270</v>
      </c>
      <c r="N69" s="2541">
        <f ca="1">M69/M49</f>
        <v>1.6503667481662591E-2</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58" t="s">
        <v>1391</v>
      </c>
      <c r="B70" s="3659"/>
      <c r="C70" s="3659"/>
      <c r="D70" s="3659"/>
      <c r="E70" s="3659"/>
      <c r="F70" s="3659"/>
      <c r="G70" s="3659"/>
      <c r="H70" s="365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7" t="s">
        <v>1372</v>
      </c>
      <c r="B71" s="3638"/>
      <c r="C71" s="2017"/>
      <c r="D71" s="2017"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f ca="1">ROUND(D45/(1+'数据-取费表'!C42),0)</f>
        <v>15581</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f ca="1">C74+C78</f>
        <v>78</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32" t="s">
        <v>1399</v>
      </c>
      <c r="F76" s="3606"/>
      <c r="G76" s="3606"/>
      <c r="H76" s="365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2320" t="s">
        <v>1401</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f ca="1">ROUND(D45*D78/(1+'数据-取费表'!C42),0)</f>
        <v>78</v>
      </c>
      <c r="D78" s="2573">
        <f>'数据-取费表'!B43</f>
        <v>5.000000000000001E-3</v>
      </c>
      <c r="E78" s="3616" t="s">
        <v>1403</v>
      </c>
      <c r="F78" s="3617"/>
      <c r="G78" s="3617"/>
      <c r="H78" s="362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f ca="1">C72-C73</f>
        <v>15503</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f ca="1">IF(C79&lt;=0,0,C79/C73)</f>
        <v>198.75641025641025</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f ca="1">ROUND(IF(C79&lt;=0,0,IF(C80&gt;=200%,C79*60%-C73*35%,IF(C80&gt;=100%,C79*50%-C73*15%,IF(C80&gt;=50%,C79*40%-C73*5%,IF(C80&lt;50%,C79*30%,0))))),0)</f>
        <v>9275</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8" t="s">
        <v>1407</v>
      </c>
      <c r="B83" s="3659"/>
      <c r="C83" s="3659"/>
      <c r="D83" s="3659"/>
      <c r="E83" s="3659"/>
      <c r="F83" s="3659"/>
      <c r="G83" s="3659"/>
      <c r="H83" s="365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7" t="s">
        <v>1372</v>
      </c>
      <c r="B84" s="3638"/>
      <c r="C84" s="2017"/>
      <c r="D84" s="2017"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f ca="1">ROUND(D45/(1+'数据-取费表'!C42),0)</f>
        <v>15581</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f ca="1">IF(H88="仅含出让金",C87+C90+C91+C92+C93+C94,C87+C91+C92+C93+C94)</f>
        <v>30923.187000000002</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18012.187000000002</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v>17479.187000000002</v>
      </c>
      <c r="D88" s="2573"/>
      <c r="E88" s="193" t="s">
        <v>1410</v>
      </c>
      <c r="F88" s="2323"/>
      <c r="G88" s="194" t="s">
        <v>1411</v>
      </c>
      <c r="H88" s="1820" t="s">
        <v>3482</v>
      </c>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533</v>
      </c>
      <c r="D89" s="2573">
        <f>'数据-取费表'!B48+'数据-取费表'!B49</f>
        <v>3.0499999999999999E-2</v>
      </c>
      <c r="E89" s="193" t="s">
        <v>1412</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2323"/>
      <c r="G90" s="3698" t="s">
        <v>2124</v>
      </c>
      <c r="H90" s="3699"/>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 ca="1">IF(H91="——",成本法!C33,I91)</f>
        <v>5715</v>
      </c>
      <c r="D91" s="2573"/>
      <c r="E91" s="3616" t="s">
        <v>1416</v>
      </c>
      <c r="F91" s="3617"/>
      <c r="G91" s="3617"/>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 ca="1">ROUND((C87+C90+C91)*D92,0)</f>
        <v>2373</v>
      </c>
      <c r="D92" s="2579">
        <v>0.1</v>
      </c>
      <c r="E92" s="3616" t="s">
        <v>1419</v>
      </c>
      <c r="F92" s="3617"/>
      <c r="G92" s="3617"/>
      <c r="H92" s="3626"/>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f ca="1">ROUND(D45*D93/(1+'数据-取费表'!C42),0)</f>
        <v>78</v>
      </c>
      <c r="D93" s="2573">
        <f>'数据-取费表'!B43</f>
        <v>5.000000000000001E-3</v>
      </c>
      <c r="E93" s="3616" t="s">
        <v>1403</v>
      </c>
      <c r="F93" s="3617"/>
      <c r="G93" s="3617"/>
      <c r="H93" s="362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 ca="1">ROUND((C87+C90+C91)*D94,0)</f>
        <v>4745</v>
      </c>
      <c r="D94" s="2573">
        <v>0.2</v>
      </c>
      <c r="E94" s="3627" t="s">
        <v>1423</v>
      </c>
      <c r="F94" s="3628"/>
      <c r="G94" s="3628"/>
      <c r="H94" s="362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f ca="1">ROUND(C85-C86,0)</f>
        <v>-15342</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f ca="1">IF(C95&lt;=0,0,C95/C86)</f>
        <v>0</v>
      </c>
      <c r="D96" s="170" t="s">
        <v>26</v>
      </c>
      <c r="E96" s="2320" t="str">
        <f ca="1">IF(C96&gt;=200%,"增值额超过扣除项目金额200%",IF(C96&gt;=100%,"增值额超过扣除项目金额100%，未超过200%",IF(C96&gt;=50%,"增值额超过扣除项目金额50%，未超过100%",IF(C96&lt;50%,"增值额未超过扣除项目金额50%"))))</f>
        <v>增值额未超过扣除项目金额50%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f ca="1">ROUND(IF(C95&lt;=0,0,IF(C96&gt;=200%,C95*60%-C86*35%,IF(C96&gt;=100%,C95*50%-C86*15%,IF(C96&gt;=50%,C95*40%-C86*5%,IF(C96&lt;50%,C95*30%,0))))),0)</f>
        <v>0</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0" t="s">
        <v>1425</v>
      </c>
      <c r="B100" s="3601"/>
      <c r="C100" s="3601"/>
      <c r="D100" s="3618"/>
      <c r="E100" s="3601" t="s">
        <v>1426</v>
      </c>
      <c r="F100" s="3601"/>
      <c r="G100" s="3601"/>
      <c r="H100" s="3618"/>
      <c r="I100" s="129"/>
    </row>
    <row r="101" spans="1:35" ht="18.75" customHeight="1">
      <c r="A101" s="3679" t="s">
        <v>1427</v>
      </c>
      <c r="B101" s="3680"/>
      <c r="C101" s="2581" t="str">
        <f>C4</f>
        <v>成本法</v>
      </c>
      <c r="D101" s="2582" t="str">
        <f>D4</f>
        <v>收益法</v>
      </c>
      <c r="E101" s="3693" t="s">
        <v>1428</v>
      </c>
      <c r="F101" s="3650"/>
      <c r="G101" s="1823" t="s">
        <v>1429</v>
      </c>
      <c r="H101" s="2591">
        <f ca="1">H118</f>
        <v>16360</v>
      </c>
      <c r="I101" s="129"/>
    </row>
    <row r="102" spans="1:35" ht="18.75" customHeight="1">
      <c r="A102" s="3652" t="s">
        <v>1430</v>
      </c>
      <c r="B102" s="2580" t="s">
        <v>1429</v>
      </c>
      <c r="C102" s="2581">
        <f ca="1">IF(D32="楼面单价",ROUND(C19,0),C19)</f>
        <v>14430</v>
      </c>
      <c r="D102" s="2582">
        <f ca="1">IF(D32="楼面单价",ROUND(D19,0),D19)</f>
        <v>18289</v>
      </c>
      <c r="E102" s="3693"/>
      <c r="F102" s="3650"/>
      <c r="G102" s="1823" t="s">
        <v>1431</v>
      </c>
      <c r="H102" s="2551">
        <f ca="1">I118</f>
        <v>8088</v>
      </c>
      <c r="I102" s="129"/>
    </row>
    <row r="103" spans="1:35" ht="42.75" customHeight="1">
      <c r="A103" s="3652"/>
      <c r="B103" s="2580" t="s">
        <v>1431</v>
      </c>
      <c r="C103" s="2583">
        <f ca="1">C20</f>
        <v>7134</v>
      </c>
      <c r="D103" s="2584">
        <f ca="1">D20</f>
        <v>9041</v>
      </c>
      <c r="E103" s="3687" t="s">
        <v>1432</v>
      </c>
      <c r="F103" s="3688"/>
      <c r="G103" s="1824" t="s">
        <v>1433</v>
      </c>
      <c r="H103" s="2591">
        <f>IF(D36="正常操作",H104+H105+H106,H105+H106)</f>
        <v>0</v>
      </c>
      <c r="I103" s="129"/>
    </row>
    <row r="104" spans="1:35" ht="18.75" customHeight="1">
      <c r="A104" s="3652" t="s">
        <v>1434</v>
      </c>
      <c r="B104" s="2585" t="s">
        <v>1429</v>
      </c>
      <c r="C104" s="2586">
        <f ca="1">H118</f>
        <v>16360</v>
      </c>
      <c r="D104" s="2587"/>
      <c r="E104" s="1670" t="s">
        <v>1435</v>
      </c>
      <c r="F104" s="1662"/>
      <c r="G104" s="1824" t="s">
        <v>1433</v>
      </c>
      <c r="H104" s="2592">
        <f>IF(D36="同一抵押权人同一抵押物续贷",C36&amp;"（续贷，未扣减，详见特别提示）",C36)</f>
        <v>0</v>
      </c>
      <c r="I104" s="129"/>
    </row>
    <row r="105" spans="1:35" ht="18.75" customHeight="1" thickBot="1">
      <c r="A105" s="3653"/>
      <c r="B105" s="2588" t="s">
        <v>1431</v>
      </c>
      <c r="C105" s="2589">
        <f ca="1">I118</f>
        <v>8088</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9" t="str">
        <f>IF(项目基本情况!E8="已注销","——","3.房地产抵押价值")</f>
        <v>3.房地产抵押价值</v>
      </c>
      <c r="F107" s="3650"/>
      <c r="G107" s="1823" t="s">
        <v>1429</v>
      </c>
      <c r="H107" s="2591">
        <f ca="1">IF(E107="——","——",H101-H103)</f>
        <v>16360</v>
      </c>
      <c r="I107" s="129"/>
    </row>
    <row r="108" spans="1:35" ht="18.75" customHeight="1">
      <c r="A108" s="129"/>
      <c r="B108" s="129"/>
      <c r="C108" s="129"/>
      <c r="D108" s="129"/>
      <c r="E108" s="3649"/>
      <c r="F108" s="3650"/>
      <c r="G108" s="1823" t="s">
        <v>1431</v>
      </c>
      <c r="H108" s="2551">
        <f ca="1">IF(H107=H101,H102,ROUND(H107*10000/'数据-汇总表'!E3,0))</f>
        <v>8088</v>
      </c>
      <c r="I108" s="129"/>
    </row>
    <row r="109" spans="1:35" ht="18.75" customHeight="1">
      <c r="A109" s="129"/>
      <c r="B109" s="129"/>
      <c r="C109" s="129"/>
      <c r="D109" s="129"/>
      <c r="E109" s="3649" t="str">
        <f>IF(项目基本情况!E8="已注销及未注销","4.抵押担保权已注销时的房地产抵押价值",IF(项目基本情况!E8="已注销","3.抵押担保权已注销时的房地产抵押价值","——"))</f>
        <v>——</v>
      </c>
      <c r="F109" s="3650"/>
      <c r="G109" s="1823" t="s">
        <v>1429</v>
      </c>
      <c r="H109" s="2594" t="str">
        <f>IF(E109="——","——",H101-H105-H106)</f>
        <v>——</v>
      </c>
      <c r="I109" s="129"/>
    </row>
    <row r="110" spans="1:35" ht="18.75" customHeight="1">
      <c r="A110" s="129"/>
      <c r="B110" s="129"/>
      <c r="C110" s="129"/>
      <c r="D110" s="129"/>
      <c r="E110" s="3649"/>
      <c r="F110" s="3650"/>
      <c r="G110" s="1823" t="s">
        <v>1431</v>
      </c>
      <c r="H110" s="2551" t="str">
        <f>IF(H109="——","——",ROUND(H109*10000/'数据-汇总表'!E3,0))</f>
        <v>——</v>
      </c>
      <c r="I110" s="129"/>
    </row>
    <row r="111" spans="1:35" ht="18.75" customHeight="1">
      <c r="A111" s="129"/>
      <c r="B111" s="129"/>
      <c r="C111" s="129"/>
      <c r="D111" s="129"/>
      <c r="E111" s="3681" t="str">
        <f>IF(项目基本情况!E9="抵押净值",IF(OR(项目基本情况!E8="已注销",项目基本情况!E8="房地产抵押价值"),"4.抵押净值","5.抵押净值"),"——")</f>
        <v>4.抵押净值</v>
      </c>
      <c r="F111" s="3651"/>
      <c r="G111" s="1823" t="s">
        <v>1429</v>
      </c>
      <c r="H111" s="2591">
        <f ca="1">IF(E111="——","——",N59)</f>
        <v>15495</v>
      </c>
      <c r="I111" s="129"/>
    </row>
    <row r="112" spans="1:35" ht="18.75" customHeight="1" thickBot="1">
      <c r="A112" s="129"/>
      <c r="B112" s="129"/>
      <c r="C112" s="129"/>
      <c r="D112" s="129"/>
      <c r="E112" s="3682"/>
      <c r="F112" s="3683"/>
      <c r="G112" s="1826" t="s">
        <v>1431</v>
      </c>
      <c r="H112" s="2595">
        <f ca="1">IF(E111="——","——",N61)</f>
        <v>7660</v>
      </c>
      <c r="I112" s="129"/>
    </row>
    <row r="113" spans="1:27" ht="18.75" customHeight="1">
      <c r="A113" s="129"/>
      <c r="B113" s="129"/>
      <c r="C113" s="129"/>
      <c r="D113" s="129"/>
      <c r="E113" s="3654" t="s">
        <v>1437</v>
      </c>
      <c r="F113" s="3654"/>
      <c r="G113" s="3654"/>
      <c r="H113" s="3654"/>
      <c r="I113" s="129"/>
    </row>
    <row r="114" spans="1:27" ht="3.75" customHeight="1">
      <c r="A114" s="1743"/>
      <c r="B114" s="1743"/>
      <c r="C114" s="1743"/>
      <c r="D114" s="1743"/>
      <c r="E114" s="1805"/>
      <c r="F114" s="1805"/>
      <c r="G114" s="1805"/>
      <c r="H114" s="1805"/>
      <c r="I114" s="1743"/>
    </row>
    <row r="115" spans="1:27" ht="18.75" customHeight="1">
      <c r="A115" s="3664" t="s">
        <v>1439</v>
      </c>
      <c r="B115" s="3665"/>
      <c r="C115" s="3665"/>
      <c r="D115" s="3665"/>
      <c r="E115" s="3665"/>
      <c r="F115" s="3665"/>
      <c r="G115" s="3665"/>
      <c r="H115" s="3665"/>
      <c r="I115" s="3666"/>
    </row>
    <row r="116" spans="1:27" ht="27" customHeight="1">
      <c r="A116" s="3620" t="s">
        <v>1440</v>
      </c>
      <c r="B116" s="3655" t="s">
        <v>1441</v>
      </c>
      <c r="C116" s="3655" t="s">
        <v>1442</v>
      </c>
      <c r="D116" s="3668" t="s">
        <v>1443</v>
      </c>
      <c r="E116" s="3669"/>
      <c r="F116" s="3663" t="s">
        <v>1444</v>
      </c>
      <c r="G116" s="3663"/>
      <c r="H116" s="3620" t="s">
        <v>1445</v>
      </c>
      <c r="I116" s="3620"/>
    </row>
    <row r="117" spans="1:27" ht="18.75" customHeight="1">
      <c r="A117" s="3620"/>
      <c r="B117" s="3656"/>
      <c r="C117" s="3656"/>
      <c r="D117" s="2325" t="s">
        <v>1446</v>
      </c>
      <c r="E117" s="2325" t="s">
        <v>1447</v>
      </c>
      <c r="F117" s="2325" t="s">
        <v>1446</v>
      </c>
      <c r="G117" s="2325" t="s">
        <v>1448</v>
      </c>
      <c r="H117" s="2325" t="s">
        <v>1446</v>
      </c>
      <c r="I117" s="2325" t="s">
        <v>1448</v>
      </c>
    </row>
    <row r="118" spans="1:27" ht="24.75" customHeight="1">
      <c r="A118" s="2596" t="str">
        <f>项目基本情况!S2</f>
        <v>北京市房地产</v>
      </c>
      <c r="B118" s="2325">
        <f>M18</f>
        <v>20228.239999999998</v>
      </c>
      <c r="C118" s="2325">
        <f>M19</f>
        <v>73586.240000000005</v>
      </c>
      <c r="D118" s="2325">
        <f ca="1">ROUND(IF(D32="总价",C34,E118*B118/10000),0)</f>
        <v>10814</v>
      </c>
      <c r="E118" s="2325">
        <f ca="1">ROUND(IF(C33="自定义",IF(D32="楼面单价",C34,D118*10000/B118),I118-G118),0)</f>
        <v>5346</v>
      </c>
      <c r="F118" s="2325">
        <f ca="1">ROUND(IF(D32="总价",C35,G118*B118/10000),0)</f>
        <v>5546</v>
      </c>
      <c r="G118" s="2325">
        <f ca="1">ROUND(IF(D32="楼面单价",C35,F118*10000/B118),0)</f>
        <v>2742</v>
      </c>
      <c r="H118" s="2325">
        <f ca="1">ROUND(IF(D32="总价",C32,I118*B118/10000),0)</f>
        <v>16360</v>
      </c>
      <c r="I118" s="2325">
        <f ca="1">ROUND(IF(D32="楼面单价",C32,H118*10000/B118),0)</f>
        <v>8088</v>
      </c>
    </row>
    <row r="119" spans="1:27" ht="18.75" customHeight="1">
      <c r="A119" s="3620" t="s">
        <v>1449</v>
      </c>
      <c r="B119" s="3620"/>
      <c r="C119" s="3620"/>
      <c r="D119" s="3660" t="str">
        <f ca="1">NUMBERSTRING(INT(D118*10000),2)&amp;"元整"</f>
        <v>壹亿零捌佰壹拾肆万元整</v>
      </c>
      <c r="E119" s="3662"/>
      <c r="F119" s="3660" t="str">
        <f ca="1">NUMBERSTRING(INT(F118*10000),2)&amp;"元整"</f>
        <v>伍仟伍佰肆拾陆万元整</v>
      </c>
      <c r="G119" s="3662"/>
      <c r="H119" s="3660" t="str">
        <f ca="1">NUMBERSTRING(INT(H118*10000),2)&amp;"元整"</f>
        <v>壹亿陆仟叁佰陆拾万元整</v>
      </c>
      <c r="I119" s="3662"/>
    </row>
    <row r="120" spans="1:27" ht="18.75" customHeight="1">
      <c r="A120" s="3684" t="str">
        <f>IF(项目基本情况!B9="房地产市场价值","",MID(E103,3,LEN(E103)-2))</f>
        <v>估价师知悉的法定优先受偿款</v>
      </c>
      <c r="B120" s="3685"/>
      <c r="C120" s="3686"/>
      <c r="D120" s="3684">
        <f>H103</f>
        <v>0</v>
      </c>
      <c r="E120" s="3685"/>
      <c r="F120" s="3685"/>
      <c r="G120" s="3685"/>
      <c r="H120" s="3685"/>
      <c r="I120" s="368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60" t="s">
        <v>1449</v>
      </c>
      <c r="B121" s="3661"/>
      <c r="C121" s="3662"/>
      <c r="D121" s="3660" t="str">
        <f>IF(D120=0,"零元整",NUMBERSTRING(INT(D120*10000),2)&amp;"元整")</f>
        <v>零元整</v>
      </c>
      <c r="E121" s="3661"/>
      <c r="F121" s="3661"/>
      <c r="G121" s="3661"/>
      <c r="H121" s="3661"/>
      <c r="I121" s="3662"/>
      <c r="AA121" s="724"/>
    </row>
    <row r="122" spans="1:27" ht="18.75" customHeight="1">
      <c r="A122" s="3651" t="str">
        <f>IF(项目基本情况!B9="房地产市场价值","",MID(E107,3,LEN(E107)-2))</f>
        <v>房地产抵押价值</v>
      </c>
      <c r="B122" s="3651"/>
      <c r="C122" s="3651"/>
      <c r="D122" s="3684">
        <f ca="1">H107</f>
        <v>16360</v>
      </c>
      <c r="E122" s="3685"/>
      <c r="F122" s="3685"/>
      <c r="G122" s="3685"/>
      <c r="H122" s="3685"/>
      <c r="I122" s="3686"/>
      <c r="AA122" s="724"/>
    </row>
    <row r="123" spans="1:27" ht="18.75" customHeight="1">
      <c r="A123" s="3620" t="s">
        <v>1449</v>
      </c>
      <c r="B123" s="3620"/>
      <c r="C123" s="3620"/>
      <c r="D123" s="3660" t="str">
        <f ca="1">NUMBERSTRING(INT(D122*10000),2)&amp;"元整"</f>
        <v>壹亿陆仟叁佰陆拾万元整</v>
      </c>
      <c r="E123" s="3661"/>
      <c r="F123" s="3661"/>
      <c r="G123" s="3661"/>
      <c r="H123" s="3661"/>
      <c r="I123" s="3662"/>
      <c r="AA123" s="724"/>
    </row>
    <row r="124" spans="1:27" ht="18.75" customHeight="1">
      <c r="A124" s="3651" t="str">
        <f>IF(项目基本情况!B9="房地产市场价值","",MID(E109,3,LEN(E109)-2))</f>
        <v/>
      </c>
      <c r="B124" s="3651"/>
      <c r="C124" s="3651"/>
      <c r="D124" s="3684" t="str">
        <f>H109</f>
        <v>——</v>
      </c>
      <c r="E124" s="3685"/>
      <c r="F124" s="3685"/>
      <c r="G124" s="3685"/>
      <c r="H124" s="3685"/>
      <c r="I124" s="3686"/>
      <c r="AA124" s="724"/>
    </row>
    <row r="125" spans="1:27" ht="18.75" customHeight="1">
      <c r="A125" s="3620" t="s">
        <v>1449</v>
      </c>
      <c r="B125" s="3620"/>
      <c r="C125" s="3620"/>
      <c r="D125" s="3660" t="e">
        <f>NUMBERSTRING(INT(D124*10000),2)&amp;"元整"</f>
        <v>#VALUE!</v>
      </c>
      <c r="E125" s="3661"/>
      <c r="F125" s="3661"/>
      <c r="G125" s="3661"/>
      <c r="H125" s="3661"/>
      <c r="I125" s="3662"/>
      <c r="AA125" s="724"/>
    </row>
    <row r="126" spans="1:27" ht="18.75" customHeight="1">
      <c r="A126" s="3651" t="str">
        <f>IF(项目基本情况!B9="房地产市场价值","",MID(E111,3,LEN(E111)-2))</f>
        <v>抵押净值</v>
      </c>
      <c r="B126" s="3651"/>
      <c r="C126" s="3651"/>
      <c r="D126" s="3684">
        <f ca="1">H111</f>
        <v>15495</v>
      </c>
      <c r="E126" s="3685"/>
      <c r="F126" s="3685"/>
      <c r="G126" s="3685"/>
      <c r="H126" s="3685"/>
      <c r="I126" s="3686"/>
      <c r="AA126" s="724"/>
    </row>
    <row r="127" spans="1:27" ht="18.75" customHeight="1">
      <c r="A127" s="3620" t="s">
        <v>1449</v>
      </c>
      <c r="B127" s="3620"/>
      <c r="C127" s="3620"/>
      <c r="D127" s="3660" t="str">
        <f ca="1">NUMBERSTRING(INT(D126*10000),2)&amp;"元整"</f>
        <v>壹亿伍仟肆佰玖拾伍万元整</v>
      </c>
      <c r="E127" s="3661"/>
      <c r="F127" s="3661"/>
      <c r="G127" s="3661"/>
      <c r="H127" s="3661"/>
      <c r="I127" s="3662"/>
      <c r="AA127" s="724"/>
    </row>
    <row r="128" spans="1:27" ht="21.75" customHeight="1">
      <c r="A128" s="3667" t="s">
        <v>1450</v>
      </c>
      <c r="B128" s="3667"/>
      <c r="C128" s="3667"/>
      <c r="D128" s="3667"/>
      <c r="E128" s="3667"/>
      <c r="F128" s="3667"/>
      <c r="G128" s="3667"/>
      <c r="H128" s="3667"/>
      <c r="I128" s="3667"/>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370</v>
      </c>
      <c r="B36" s="838" t="s">
        <v>371</v>
      </c>
    </row>
    <row r="37" spans="1:9" ht="27.75" customHeight="1">
      <c r="A37" s="838"/>
      <c r="B37" s="3517" t="str">
        <f>项目基本情况!B1</f>
        <v>北京市房地产抵押价值预评估</v>
      </c>
      <c r="C37" s="3517"/>
      <c r="D37" s="3517"/>
      <c r="E37" s="3517"/>
      <c r="F37" s="3517"/>
      <c r="G37" s="3517"/>
      <c r="H37" s="3517"/>
      <c r="I37" s="3517"/>
    </row>
    <row r="38" spans="1:9">
      <c r="A38" s="840"/>
      <c r="B38" s="840"/>
    </row>
    <row r="39" spans="1:9">
      <c r="A39" s="838" t="s">
        <v>370</v>
      </c>
      <c r="B39" s="838" t="s">
        <v>372</v>
      </c>
    </row>
    <row r="40" spans="1:9">
      <c r="A40" s="838"/>
      <c r="B40" s="1470">
        <f>项目基本情况!B5</f>
        <v>0</v>
      </c>
    </row>
    <row r="41" spans="1:9">
      <c r="A41" s="838"/>
      <c r="B41" s="838"/>
    </row>
    <row r="42" spans="1:9">
      <c r="A42" s="838" t="s">
        <v>370</v>
      </c>
      <c r="B42" s="838" t="s">
        <v>373</v>
      </c>
    </row>
    <row r="43" spans="1:9">
      <c r="A43" s="838"/>
      <c r="B43" s="1470" t="s">
        <v>374</v>
      </c>
    </row>
    <row r="44" spans="1:9">
      <c r="A44" s="838"/>
      <c r="B44" s="838"/>
    </row>
    <row r="45" spans="1:9">
      <c r="A45" s="838" t="s">
        <v>370</v>
      </c>
      <c r="B45" s="838" t="s">
        <v>375</v>
      </c>
    </row>
    <row r="46" spans="1:9" s="838" customFormat="1" ht="12.75">
      <c r="B46" s="1470" t="str">
        <f>项目基本情况!K4</f>
        <v>（注册号：0)、（注册号：0)</v>
      </c>
    </row>
    <row r="47" spans="1:9">
      <c r="A47" s="838"/>
      <c r="B47" s="838" t="str">
        <f>项目基本情况!K5</f>
        <v>（注册号：0)、（注册号：0)</v>
      </c>
    </row>
    <row r="48" spans="1:9">
      <c r="A48" s="838" t="s">
        <v>370</v>
      </c>
      <c r="B48" s="838" t="s">
        <v>376</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c r="C1" s="198"/>
      <c r="D1" s="198"/>
      <c r="E1" s="198"/>
      <c r="F1" s="198"/>
      <c r="G1" s="1122">
        <f>MATCH(B1,'数据-取费表'!A6:A16,0)+5</f>
        <v>7</v>
      </c>
    </row>
    <row r="2" spans="1:9" s="200" customFormat="1" ht="18" customHeight="1">
      <c r="A2" s="201" t="s">
        <v>1459</v>
      </c>
      <c r="B2" s="202">
        <f ca="1">IF(D2="——",C52,C52-E2)</f>
        <v>14430</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f ca="1">ROUND(B2*10000/(IF(B1="",'数据-汇总表'!E3,INDIRECT("'数据-取费表'!k"&amp;$G$1))),0)</f>
        <v>7134</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7510</v>
      </c>
      <c r="D5" s="211" t="s">
        <v>1466</v>
      </c>
      <c r="E5" s="212" t="s">
        <v>1467</v>
      </c>
      <c r="F5" s="212" t="s">
        <v>1468</v>
      </c>
      <c r="G5" s="213"/>
    </row>
    <row r="6" spans="1:9" s="214" customFormat="1" ht="13.5" customHeight="1">
      <c r="A6" s="774" t="s">
        <v>1469</v>
      </c>
      <c r="B6" s="215" t="s">
        <v>1470</v>
      </c>
      <c r="C6" s="216">
        <f>基准地价修正!B2</f>
        <v>6895</v>
      </c>
      <c r="D6" s="217"/>
      <c r="E6" s="218"/>
      <c r="F6" s="218"/>
      <c r="G6" s="219"/>
    </row>
    <row r="7" spans="1:9" s="214" customFormat="1" ht="13.5" customHeight="1">
      <c r="A7" s="774" t="s">
        <v>1471</v>
      </c>
      <c r="B7" s="215" t="s">
        <v>1472</v>
      </c>
      <c r="C7" s="220">
        <f>ROUND(C6*F7,0)</f>
        <v>210</v>
      </c>
      <c r="D7" s="220"/>
      <c r="E7" s="218"/>
      <c r="F7" s="221">
        <f>IF(项目基本情况!B8="出让",0,'数据-取费表'!B48+'数据-取费表'!B49)</f>
        <v>3.0499999999999999E-2</v>
      </c>
      <c r="G7" s="219"/>
    </row>
    <row r="8" spans="1:9" s="223" customFormat="1">
      <c r="A8" s="774" t="s">
        <v>1473</v>
      </c>
      <c r="B8" s="215" t="s">
        <v>1474</v>
      </c>
      <c r="C8" s="220">
        <f>IF(G8="已包含在土地购买价格中","0",IF(B1="",'数据-取费表'!B29,IF(G9="全部缴纳",C9+C10,H9)))</f>
        <v>405</v>
      </c>
      <c r="D8" s="222"/>
      <c r="E8" s="220"/>
      <c r="F8" s="221"/>
      <c r="G8" s="1852" t="s">
        <v>3433</v>
      </c>
    </row>
    <row r="9" spans="1:9" s="214" customFormat="1" ht="13.5" customHeight="1">
      <c r="A9" s="775" t="s">
        <v>354</v>
      </c>
      <c r="B9" s="224" t="s">
        <v>1475</v>
      </c>
      <c r="C9" s="225">
        <f ca="1">ROUND(D9*E9/10000,0)</f>
        <v>0</v>
      </c>
      <c r="D9" s="841">
        <f ca="1">IF(B1="",'数据-汇总表'!E5,IF(INDIRECT("'数据-取费表'!c"&amp;$G$1)="住宅",INDIRECT("'数据-取费表'!k"&amp;$G$1),0))</f>
        <v>0</v>
      </c>
      <c r="E9" s="225">
        <f>'数据-取费表'!B27</f>
        <v>0</v>
      </c>
      <c r="F9" s="221"/>
      <c r="G9" s="1853" t="s">
        <v>3439</v>
      </c>
      <c r="H9" s="1133"/>
      <c r="I9" s="1854" t="s">
        <v>1476</v>
      </c>
    </row>
    <row r="10" spans="1:9" s="214" customFormat="1" ht="13.5" customHeight="1">
      <c r="A10" s="775" t="s">
        <v>355</v>
      </c>
      <c r="B10" s="224" t="s">
        <v>1477</v>
      </c>
      <c r="C10" s="225">
        <f ca="1">ROUND(D10*E10/10000,0)</f>
        <v>405</v>
      </c>
      <c r="D10" s="841">
        <f ca="1">IF(B1="",'数据-汇总表'!E6,IF(INDIRECT("'数据-取费表'!c"&amp;$G$1)="住宅",INDIRECT("'数据-取费表'!s"&amp;$G$1),INDIRECT("'数据-取费表'!k"&amp;$G$1)+INDIRECT("'数据-取费表'!s"&amp;$G$1)))</f>
        <v>20228.239999999998</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1481</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1481</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f ca="1">D9+D10</f>
        <v>20228.239999999998</v>
      </c>
      <c r="E19" s="211">
        <f>'数据-取费表'!B31</f>
        <v>200</v>
      </c>
      <c r="F19" s="231"/>
      <c r="G19" s="1852" t="s">
        <v>3434</v>
      </c>
    </row>
    <row r="20" spans="1:7" s="214" customFormat="1" ht="13.5" customHeight="1">
      <c r="A20" s="255" t="s">
        <v>1490</v>
      </c>
      <c r="B20" s="210" t="s">
        <v>1491</v>
      </c>
      <c r="C20" s="232">
        <f>ROUND((C5+C19)*F20,0)</f>
        <v>150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f ca="1">ROUND(SUM(C23:C25),0)</f>
        <v>396</v>
      </c>
      <c r="D22" s="235">
        <f ca="1">C26</f>
        <v>5.0000000000000001E-4</v>
      </c>
      <c r="E22" s="236" t="s">
        <v>1495</v>
      </c>
      <c r="F22" s="237">
        <f ca="1">'数据-取费表'!B40</f>
        <v>3.4500000000000003E-2</v>
      </c>
      <c r="G22" s="234" t="str">
        <f>IF('数据-取费表'!B22&lt;=1,"单利计息","复利计息")</f>
        <v>复利计息</v>
      </c>
    </row>
    <row r="23" spans="1:7" s="214" customFormat="1" ht="13.5" customHeight="1">
      <c r="A23" s="776" t="s">
        <v>1499</v>
      </c>
      <c r="B23" s="215" t="s">
        <v>1500</v>
      </c>
      <c r="C23" s="1101">
        <f ca="1">ROUND(IF('数据-取费表'!B22&lt;=1,C5*F22*'数据-取费表'!B23,C5*(POWER((1+F22),'数据-取费表'!B23)-1)),0)</f>
        <v>392</v>
      </c>
      <c r="D23" s="238"/>
      <c r="E23" s="238"/>
      <c r="F23" s="239"/>
      <c r="G23" s="240" t="s">
        <v>1501</v>
      </c>
    </row>
    <row r="24" spans="1:7" s="214" customFormat="1" ht="13.5" customHeight="1">
      <c r="A24" s="776" t="s">
        <v>1502</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1505</v>
      </c>
      <c r="B25" s="215" t="s">
        <v>1506</v>
      </c>
      <c r="C25" s="1101">
        <f ca="1">ROUND(IF('数据-取费表'!B22&lt;=1,C20*F22*'数据-取费表'!B23/2,C20*(POWER((1+F22),'数据-取费表'!B23/2)-1)),0)</f>
        <v>4</v>
      </c>
      <c r="D25" s="238"/>
      <c r="E25" s="241"/>
      <c r="F25" s="239"/>
      <c r="G25" s="242" t="s">
        <v>1507</v>
      </c>
    </row>
    <row r="26" spans="1:7" s="214" customFormat="1">
      <c r="A26" s="776" t="s">
        <v>349</v>
      </c>
      <c r="B26" s="215" t="s">
        <v>1508</v>
      </c>
      <c r="C26" s="238">
        <f ca="1">ROUND(IF('数据-取费表'!B22&lt;=1,F21*F22*'数据-取费表'!B23/2,F21*(POWER((1+F22),'数据-取费表'!B23/2)-1)),4)</f>
        <v>5.0000000000000001E-4</v>
      </c>
      <c r="D26" s="238"/>
      <c r="E26" s="241"/>
      <c r="F26" s="239"/>
      <c r="G26" s="243"/>
    </row>
    <row r="27" spans="1:7" s="214" customFormat="1" ht="24.75">
      <c r="A27" s="255" t="s">
        <v>1509</v>
      </c>
      <c r="B27" s="244" t="s">
        <v>1510</v>
      </c>
      <c r="C27" s="245">
        <f ca="1">C28</f>
        <v>766</v>
      </c>
      <c r="D27" s="235">
        <f ca="1">C29</f>
        <v>2E-3</v>
      </c>
      <c r="E27" s="236" t="s">
        <v>1511</v>
      </c>
      <c r="F27" s="246">
        <f ca="1">IF(B1="",'数据-取费表'!Q16,INDIRECT("'数据-取费表'!q"&amp;$G$1))</f>
        <v>0.1</v>
      </c>
      <c r="G27" s="247" t="s">
        <v>1512</v>
      </c>
    </row>
    <row r="28" spans="1:7" s="214" customFormat="1" ht="13.5" customHeight="1">
      <c r="A28" s="776" t="s">
        <v>345</v>
      </c>
      <c r="B28" s="248" t="s">
        <v>1513</v>
      </c>
      <c r="C28" s="249">
        <f ca="1">ROUND((C5+C19+C20)*F27*'数据-取费表'!B21/'数据-取费表'!B20,0)</f>
        <v>766</v>
      </c>
      <c r="D28" s="235"/>
      <c r="E28" s="236"/>
      <c r="F28" s="246"/>
      <c r="G28" s="247"/>
    </row>
    <row r="29" spans="1:7" s="214" customFormat="1" ht="13.5" customHeight="1">
      <c r="A29" s="776" t="s">
        <v>346</v>
      </c>
      <c r="B29" s="248" t="s">
        <v>1514</v>
      </c>
      <c r="C29" s="238">
        <f ca="1">ROUND(C21*F27*'数据-取费表'!B21/'数据-取费表'!B20,4)</f>
        <v>2E-3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9536</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f ca="1">SUM(C34:C38)</f>
        <v>5715</v>
      </c>
      <c r="D33" s="232"/>
      <c r="E33" s="212"/>
      <c r="F33" s="241"/>
      <c r="G33" s="234"/>
    </row>
    <row r="34" spans="1:7" s="258" customFormat="1" ht="13.5" customHeight="1">
      <c r="A34" s="776" t="s">
        <v>345</v>
      </c>
      <c r="B34" s="215" t="s">
        <v>1522</v>
      </c>
      <c r="C34" s="220">
        <f ca="1">IF(B1="",IF(F34=100%,'数据-取费表'!M16,'数据-取费表'!O16),IF(F34=100%,INDIRECT("'数据-取费表'!m"&amp;$G$1)+INDIRECT("'数据-取费表'!t"&amp;$G$1),INDIRECT("'数据-取费表'!o"&amp;$G$1)+INDIRECT("'数据-取费表'!aq"&amp;$G$1)))</f>
        <v>5057</v>
      </c>
      <c r="D34" s="217"/>
      <c r="E34" s="220"/>
      <c r="F34" s="257">
        <f ca="1">IF('数据-取费表'!B24=0,1,IF(B1="",'数据-取费表'!N16,INDIRECT("'数据-取费表'!n"&amp;$G$1)))</f>
        <v>1</v>
      </c>
      <c r="G34" s="219" t="s">
        <v>1523</v>
      </c>
    </row>
    <row r="35" spans="1:7" ht="13.5" customHeight="1">
      <c r="A35" s="776" t="s">
        <v>350</v>
      </c>
      <c r="B35" s="215" t="s">
        <v>1524</v>
      </c>
      <c r="C35" s="220">
        <f ca="1">ROUND(C34*F35,0)</f>
        <v>152</v>
      </c>
      <c r="D35" s="220"/>
      <c r="E35" s="220"/>
      <c r="F35" s="259">
        <f>'数据-取费表'!B33</f>
        <v>0.03</v>
      </c>
      <c r="G35" s="219" t="s">
        <v>1525</v>
      </c>
    </row>
    <row r="36" spans="1:7" ht="24">
      <c r="A36" s="776" t="s">
        <v>351</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6" t="s">
        <v>352</v>
      </c>
      <c r="B37" s="215" t="s">
        <v>1528</v>
      </c>
      <c r="C37" s="249">
        <f ca="1">ROUND(E37*D37*F34/10000,0)</f>
        <v>405</v>
      </c>
      <c r="D37" s="217">
        <f ca="1">D19</f>
        <v>20228.239999999998</v>
      </c>
      <c r="E37" s="249">
        <f>'数据-取费表'!B35</f>
        <v>200</v>
      </c>
      <c r="F37" s="259"/>
      <c r="G37" s="261" t="s">
        <v>1529</v>
      </c>
    </row>
    <row r="38" spans="1:7" ht="13.5" customHeight="1">
      <c r="A38" s="776" t="s">
        <v>353</v>
      </c>
      <c r="B38" s="215" t="s">
        <v>1530</v>
      </c>
      <c r="C38" s="220">
        <f ca="1">ROUND(C34*F38,0)</f>
        <v>101</v>
      </c>
      <c r="D38" s="220"/>
      <c r="E38" s="220"/>
      <c r="F38" s="259">
        <f>'数据-取费表'!B36</f>
        <v>0.02</v>
      </c>
      <c r="G38" s="219" t="s">
        <v>1525</v>
      </c>
    </row>
    <row r="39" spans="1:7" s="214" customFormat="1" ht="13.5" customHeight="1">
      <c r="A39" s="255" t="s">
        <v>1531</v>
      </c>
      <c r="B39" s="210" t="s">
        <v>1532</v>
      </c>
      <c r="C39" s="232">
        <f ca="1">ROUND(C33*F20,0)</f>
        <v>114</v>
      </c>
      <c r="D39" s="232"/>
      <c r="E39" s="232"/>
      <c r="F39" s="233">
        <f>F20</f>
        <v>0.02</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150</v>
      </c>
      <c r="D41" s="235">
        <f ca="1">C44</f>
        <v>5.0000000000000001E-4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ROUND(IF('数据-取费表'!B22&lt;=1,C33*F22*'数据-取费表'!B21/2,C33*(POWER((1+F22),'数据-取费表'!B21/2)-1)),0)</f>
        <v>147</v>
      </c>
      <c r="D42" s="238"/>
      <c r="E42" s="238"/>
      <c r="F42" s="239"/>
      <c r="G42" s="3700" t="s">
        <v>1541</v>
      </c>
    </row>
    <row r="43" spans="1:7" ht="13.5" customHeight="1">
      <c r="A43" s="776" t="s">
        <v>346</v>
      </c>
      <c r="B43" s="215" t="s">
        <v>1542</v>
      </c>
      <c r="C43" s="238">
        <f ca="1">ROUND(IF('数据-取费表'!B22&lt;=1,C39*F22*'数据-取费表'!B21/2,C39*(POWER((1+F22),'数据-取费表'!B21/2)-1)),0)</f>
        <v>3</v>
      </c>
      <c r="D43" s="238"/>
      <c r="E43" s="238"/>
      <c r="F43" s="239"/>
      <c r="G43" s="3701"/>
    </row>
    <row r="44" spans="1:7" ht="13.5" customHeight="1">
      <c r="A44" s="776" t="s">
        <v>347</v>
      </c>
      <c r="B44" s="215" t="s">
        <v>1543</v>
      </c>
      <c r="C44" s="238">
        <f ca="1">ROUND(IF('数据-取费表'!B22&lt;=1,C40*F22*'数据-取费表'!B21/2,C40*(POWER((1+F22),'数据-取费表'!B21/2)-1)),4)</f>
        <v>5.0000000000000001E-4</v>
      </c>
      <c r="D44" s="238"/>
      <c r="E44" s="238"/>
      <c r="F44" s="239"/>
      <c r="G44" s="3702"/>
    </row>
    <row r="45" spans="1:7" s="214" customFormat="1" ht="13.5" customHeight="1">
      <c r="A45" s="255" t="s">
        <v>1544</v>
      </c>
      <c r="B45" s="244" t="s">
        <v>1510</v>
      </c>
      <c r="C45" s="245">
        <f ca="1">C46</f>
        <v>583</v>
      </c>
      <c r="D45" s="235">
        <f ca="1">C47</f>
        <v>2E-3</v>
      </c>
      <c r="E45" s="236" t="s">
        <v>1536</v>
      </c>
      <c r="F45" s="246">
        <f ca="1">F27</f>
        <v>0.1</v>
      </c>
      <c r="G45" s="247" t="s">
        <v>1545</v>
      </c>
    </row>
    <row r="46" spans="1:7" s="214" customFormat="1" ht="13.5" customHeight="1">
      <c r="A46" s="776" t="s">
        <v>345</v>
      </c>
      <c r="B46" s="248" t="s">
        <v>1546</v>
      </c>
      <c r="C46" s="249">
        <f ca="1">ROUND((C33+C39)*F27,0)</f>
        <v>583</v>
      </c>
      <c r="D46" s="263"/>
      <c r="E46" s="236"/>
      <c r="F46" s="246"/>
      <c r="G46" s="247"/>
    </row>
    <row r="47" spans="1:7" s="214" customFormat="1" ht="13.5" customHeight="1">
      <c r="A47" s="776" t="s">
        <v>346</v>
      </c>
      <c r="B47" s="248" t="s">
        <v>1547</v>
      </c>
      <c r="C47" s="238">
        <f ca="1">ROUND(C40*F27,4)</f>
        <v>2E-3</v>
      </c>
      <c r="D47" s="263"/>
      <c r="E47" s="236"/>
      <c r="F47" s="246"/>
      <c r="G47" s="247"/>
    </row>
    <row r="48" spans="1:7" s="214" customFormat="1" ht="13.5" customHeight="1">
      <c r="A48" s="255" t="s">
        <v>1509</v>
      </c>
      <c r="B48" s="210" t="s">
        <v>1548</v>
      </c>
      <c r="C48" s="1323">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7093</v>
      </c>
      <c r="D49" s="232"/>
      <c r="E49" s="232"/>
      <c r="F49" s="264"/>
      <c r="G49" s="234" t="s">
        <v>1551</v>
      </c>
    </row>
    <row r="50" spans="1:7" s="258" customFormat="1" ht="24">
      <c r="A50" s="255" t="s">
        <v>1552</v>
      </c>
      <c r="B50" s="210" t="s">
        <v>1553</v>
      </c>
      <c r="C50" s="232"/>
      <c r="D50" s="232"/>
      <c r="E50" s="232"/>
      <c r="F50" s="264">
        <f>IF('数据-取费表'!B24=0,'数据-取费表'!N16,1)</f>
        <v>0.69</v>
      </c>
      <c r="G50" s="247" t="s">
        <v>1554</v>
      </c>
    </row>
    <row r="51" spans="1:7" ht="16.5" customHeight="1">
      <c r="A51" s="255" t="s">
        <v>1555</v>
      </c>
      <c r="B51" s="210" t="s">
        <v>1556</v>
      </c>
      <c r="C51" s="232">
        <f ca="1">ROUND(C49*F50,0)</f>
        <v>4894</v>
      </c>
      <c r="D51" s="232"/>
      <c r="E51" s="232"/>
      <c r="F51" s="264"/>
      <c r="G51" s="234" t="s">
        <v>1557</v>
      </c>
    </row>
    <row r="52" spans="1:7" s="208" customFormat="1" ht="16.5" thickBot="1">
      <c r="A52" s="265" t="s">
        <v>1558</v>
      </c>
      <c r="B52" s="266"/>
      <c r="C52" s="267">
        <f ca="1">C31+C51</f>
        <v>14430</v>
      </c>
      <c r="D52" s="266"/>
      <c r="E52" s="266"/>
      <c r="F52" s="266"/>
      <c r="G52" s="268"/>
    </row>
    <row r="55" spans="1:7" ht="15">
      <c r="B55" s="270" t="s">
        <v>1559</v>
      </c>
      <c r="C55" s="271"/>
    </row>
    <row r="56" spans="1:7">
      <c r="B56" s="273" t="s">
        <v>801</v>
      </c>
      <c r="C56" s="275">
        <f ca="1">1-C57</f>
        <v>0.66100000000000003</v>
      </c>
    </row>
    <row r="57" spans="1:7">
      <c r="B57" s="273" t="s">
        <v>802</v>
      </c>
      <c r="C57" s="274">
        <f ca="1">ROUND(C51/C52,3)</f>
        <v>0.33900000000000002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1591</v>
      </c>
      <c r="B1" s="1187"/>
      <c r="C1" s="1188"/>
      <c r="D1" s="1186"/>
      <c r="E1" s="2802"/>
      <c r="F1" s="2802"/>
      <c r="G1" s="2667"/>
      <c r="H1" s="2802"/>
      <c r="I1" s="2802"/>
      <c r="J1" s="2802"/>
      <c r="K1" s="2803">
        <f>MATCH(C1,'数据-取费表'!A6:A16,0)+5</f>
        <v>7</v>
      </c>
    </row>
    <row r="2" spans="1:33" ht="18" customHeight="1">
      <c r="A2" s="201" t="s">
        <v>1459</v>
      </c>
      <c r="B2" s="204">
        <f ca="1">C32</f>
        <v>0</v>
      </c>
      <c r="C2" s="276" t="s">
        <v>1592</v>
      </c>
      <c r="D2" s="276"/>
      <c r="E2" s="2802"/>
      <c r="F2" s="2802"/>
      <c r="G2" s="2802"/>
      <c r="H2" s="2802"/>
      <c r="I2" s="2802"/>
      <c r="J2" s="2802"/>
      <c r="K2" s="2802"/>
    </row>
    <row r="3" spans="1:33" ht="18" customHeight="1" thickBot="1">
      <c r="A3" s="203" t="s">
        <v>1461</v>
      </c>
      <c r="B3" s="204">
        <f ca="1">ROUND(B2*10000/IF(C1="",'数据-汇总表'!E3,INDIRECT("'数据-取费表'!K"&amp;$K$1)),0)</f>
        <v>0</v>
      </c>
      <c r="C3" s="276" t="s">
        <v>1593</v>
      </c>
      <c r="D3" s="276"/>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356</v>
      </c>
      <c r="B6" s="131"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4"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634</v>
      </c>
      <c r="B11" s="797" t="s">
        <v>1609</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635</v>
      </c>
      <c r="B12" s="797" t="s">
        <v>1610</v>
      </c>
      <c r="C12" s="21">
        <f ca="1">ROUND(C11*F12,0)</f>
        <v>0</v>
      </c>
      <c r="D12" s="798"/>
      <c r="E12" s="329"/>
      <c r="F12" s="808">
        <f>'数据-取费表'!B33</f>
        <v>0.03</v>
      </c>
      <c r="G12" s="5" t="s">
        <v>1611</v>
      </c>
      <c r="H12" s="793"/>
      <c r="I12" s="793"/>
      <c r="J12" s="793"/>
      <c r="K12" s="794"/>
    </row>
    <row r="13" spans="1:33" s="799" customFormat="1" ht="13.5" customHeight="1">
      <c r="A13" s="796" t="s">
        <v>636</v>
      </c>
      <c r="B13" s="797" t="s">
        <v>1612</v>
      </c>
      <c r="C13" s="21">
        <f ca="1">ROUND(IF(C1="",SUMIF('数据-取费表'!C:C,"住宅",'数据-取费表'!P:P)*F13,IF(INDIRECT("'数据-取费表'!c"&amp;$K$1)="住宅",INDIRECT("'数据-取费表'!P"&amp;$K$1)*F13,0)),0)</f>
        <v>0</v>
      </c>
      <c r="D13" s="842"/>
      <c r="E13" s="329"/>
      <c r="F13" s="808">
        <f>'数据-取费表'!B34</f>
        <v>0</v>
      </c>
      <c r="G13" s="5" t="s">
        <v>1613</v>
      </c>
      <c r="H13" s="793"/>
      <c r="I13" s="793"/>
      <c r="J13" s="793"/>
      <c r="K13" s="794"/>
    </row>
    <row r="14" spans="1:33" s="801" customFormat="1" ht="13.5" customHeight="1">
      <c r="A14" s="796" t="s">
        <v>637</v>
      </c>
      <c r="B14" s="797" t="s">
        <v>1614</v>
      </c>
      <c r="C14" s="21">
        <f ca="1">ROUND(D14*E14*F11/10000,0)</f>
        <v>0</v>
      </c>
      <c r="D14" s="842">
        <f ca="1">IF(C1="",'数据-汇总表'!E3,INDIRECT("'数据-取费表'!K"&amp;$K$1)+INDIRECT("'数据-取费表'!S"&amp;$K$1))</f>
        <v>20228.239999999998</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1616</v>
      </c>
      <c r="C15" s="807">
        <f ca="1">ROUND(C11*F15,0)</f>
        <v>0</v>
      </c>
      <c r="D15" s="802"/>
      <c r="E15" s="807"/>
      <c r="F15" s="808">
        <f>'数据-取费表'!B36</f>
        <v>0.02</v>
      </c>
      <c r="G15" s="131"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357</v>
      </c>
      <c r="B16" s="797" t="s">
        <v>1618</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358</v>
      </c>
      <c r="B17" s="797" t="s">
        <v>1619</v>
      </c>
      <c r="C17" s="21">
        <f ca="1">ROUND(D17*E17/10000,0)</f>
        <v>0</v>
      </c>
      <c r="D17" s="842">
        <f ca="1">D14</f>
        <v>20228.239999999998</v>
      </c>
      <c r="E17" s="21">
        <f>'数据-取费表'!B32</f>
        <v>0</v>
      </c>
      <c r="F17" s="802"/>
      <c r="G17" s="131"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359</v>
      </c>
      <c r="B19" s="797" t="s">
        <v>1623</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360</v>
      </c>
      <c r="B20" s="797" t="s">
        <v>1624</v>
      </c>
      <c r="C20" s="21">
        <f ca="1">ROUND(D20*E20/10000,0)</f>
        <v>405</v>
      </c>
      <c r="D20" s="842">
        <f ca="1">IF(C1="",'数据-汇总表'!E6,IF(INDIRECT("'数据-取费表'!c"&amp;$K$1)="住宅",INDIRECT("'数据-取费表'!s"&amp;$K$1),INDIRECT("'数据-取费表'!k"&amp;$K$1)+INDIRECT("'数据-取费表'!s"&amp;$K$1)))</f>
        <v>20228.239999999998</v>
      </c>
      <c r="E20" s="21">
        <f>'数据-取费表'!B28</f>
        <v>200</v>
      </c>
      <c r="F20" s="800"/>
      <c r="G20" s="12"/>
      <c r="H20" s="805"/>
      <c r="I20" s="805"/>
      <c r="J20" s="805"/>
      <c r="K20" s="806"/>
    </row>
    <row r="21" spans="1:33" s="799" customFormat="1" ht="13.5" customHeight="1">
      <c r="A21" s="786" t="s">
        <v>356</v>
      </c>
      <c r="B21" s="809" t="s">
        <v>1625</v>
      </c>
      <c r="C21" s="810">
        <f ca="1">C16+C17+C18</f>
        <v>0</v>
      </c>
      <c r="D21" s="811"/>
      <c r="E21" s="281"/>
      <c r="F21" s="281"/>
      <c r="G21" s="131" t="s">
        <v>1626</v>
      </c>
      <c r="H21" s="803"/>
      <c r="I21" s="803"/>
      <c r="J21" s="803"/>
      <c r="K21" s="804"/>
    </row>
    <row r="22" spans="1:33" s="799" customFormat="1" ht="13.5" customHeight="1">
      <c r="A22" s="786" t="s">
        <v>1598</v>
      </c>
      <c r="B22" s="809" t="s">
        <v>1627</v>
      </c>
      <c r="C22" s="810">
        <f ca="1">ROUND(C21*F22,0)</f>
        <v>0</v>
      </c>
      <c r="D22" s="281"/>
      <c r="E22" s="281"/>
      <c r="F22" s="812">
        <f>'数据-取费表'!B37</f>
        <v>0.02</v>
      </c>
      <c r="G22" s="5" t="s">
        <v>1628</v>
      </c>
      <c r="H22" s="793"/>
      <c r="I22" s="793"/>
      <c r="J22" s="793"/>
      <c r="K22" s="794"/>
    </row>
    <row r="23" spans="1:33" s="799" customFormat="1" ht="13.5" customHeight="1">
      <c r="A23" s="786" t="s">
        <v>1600</v>
      </c>
      <c r="B23" s="809" t="s">
        <v>1629</v>
      </c>
      <c r="C23" s="810">
        <f ca="1">ROUND(C4*F23*F11,0)</f>
        <v>0</v>
      </c>
      <c r="D23" s="281"/>
      <c r="E23" s="281"/>
      <c r="F23" s="812">
        <f>'数据-取费表'!B38</f>
        <v>0.02</v>
      </c>
      <c r="G23" s="5" t="s">
        <v>1630</v>
      </c>
      <c r="H23" s="793"/>
      <c r="I23" s="793"/>
      <c r="J23" s="793"/>
      <c r="K23" s="794"/>
    </row>
    <row r="24" spans="1:33" s="799" customFormat="1" ht="13.5" customHeight="1">
      <c r="A24" s="786" t="s">
        <v>1631</v>
      </c>
      <c r="B24" s="809" t="s">
        <v>1632</v>
      </c>
      <c r="C24" s="280">
        <f>ROUND(F24/(1+'数据-取费表'!C42),4)</f>
        <v>2.9000000000000001E-2</v>
      </c>
      <c r="D24" s="281" t="s">
        <v>12</v>
      </c>
      <c r="E24" s="281"/>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357</v>
      </c>
      <c r="B26" s="816" t="s">
        <v>1636</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358</v>
      </c>
      <c r="B27" s="816" t="s">
        <v>1637</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1638</v>
      </c>
      <c r="B28" s="1861" t="s">
        <v>1639</v>
      </c>
      <c r="C28" s="287">
        <f ca="1">C30</f>
        <v>0</v>
      </c>
      <c r="D28" s="280">
        <f ca="1">C29</f>
        <v>0</v>
      </c>
      <c r="E28" s="282" t="s">
        <v>12</v>
      </c>
      <c r="F28" s="288">
        <f ca="1">IF(C1="",'数据-取费表'!Q16,INDIRECT("'数据-取费表'!q"&amp;$K$1))</f>
        <v>0.1</v>
      </c>
      <c r="G28" s="813"/>
      <c r="H28" s="814"/>
      <c r="I28" s="814"/>
      <c r="J28" s="814"/>
      <c r="K28" s="815"/>
    </row>
    <row r="29" spans="1:33" s="291" customFormat="1" ht="13.5" customHeight="1">
      <c r="A29" s="796" t="s">
        <v>357</v>
      </c>
      <c r="B29" s="818" t="s">
        <v>1640</v>
      </c>
      <c r="C29" s="284">
        <f ca="1">ROUND((1+C24)*F28*'数据-取费表'!B24/'数据-取费表'!B20,4)</f>
        <v>0</v>
      </c>
      <c r="D29" s="284"/>
      <c r="E29" s="285"/>
      <c r="F29" s="290"/>
      <c r="G29" s="131" t="s">
        <v>1641</v>
      </c>
      <c r="H29" s="803"/>
      <c r="I29" s="803"/>
      <c r="J29" s="803"/>
      <c r="K29" s="804"/>
    </row>
    <row r="30" spans="1:33" s="291" customFormat="1" ht="13.5" customHeight="1">
      <c r="A30" s="796" t="s">
        <v>358</v>
      </c>
      <c r="B30" s="818" t="s">
        <v>1642</v>
      </c>
      <c r="C30" s="292">
        <f ca="1">ROUND((C21+C22+C23)*F28,0)</f>
        <v>0</v>
      </c>
      <c r="D30" s="284"/>
      <c r="E30" s="285"/>
      <c r="F30" s="290"/>
      <c r="G30" s="131"/>
      <c r="H30" s="803"/>
      <c r="I30" s="803"/>
      <c r="J30" s="803"/>
      <c r="K30" s="804"/>
    </row>
    <row r="31" spans="1:33" s="799" customFormat="1" ht="13.5" customHeight="1" thickBot="1">
      <c r="A31" s="1862" t="s">
        <v>1643</v>
      </c>
      <c r="B31" s="829" t="s">
        <v>1644</v>
      </c>
      <c r="C31" s="830">
        <f>ROUND(C4*F31/(1+'数据-取费表'!C42),0)</f>
        <v>0</v>
      </c>
      <c r="D31" s="831"/>
      <c r="E31" s="832"/>
      <c r="F31" s="833">
        <f>'数据-取费表'!B41</f>
        <v>5.5000000000000007E-2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18289</v>
      </c>
      <c r="C2" s="1868" t="s">
        <v>1648</v>
      </c>
      <c r="D2" s="1869" t="s">
        <v>1649</v>
      </c>
      <c r="E2" s="2603">
        <f>SUM(E6:E13)</f>
        <v>20228.239999999998</v>
      </c>
      <c r="F2" s="2703"/>
      <c r="G2" s="1485"/>
      <c r="H2" s="1485"/>
      <c r="I2" s="1485"/>
      <c r="J2" s="1485"/>
      <c r="K2" s="1485"/>
      <c r="L2" s="1485"/>
      <c r="M2" s="1485"/>
      <c r="N2" s="1485"/>
      <c r="O2" s="1485"/>
      <c r="P2" s="1485"/>
      <c r="Q2" s="1485"/>
      <c r="R2" s="1485"/>
      <c r="S2" s="1485"/>
    </row>
    <row r="3" spans="1:22" ht="15.75">
      <c r="A3" s="1866" t="s">
        <v>685</v>
      </c>
      <c r="B3" s="2597">
        <f ca="1">ROUND(B2*10000/E2,0)</f>
        <v>9041</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703" t="s">
        <v>1651</v>
      </c>
      <c r="C5" s="3704"/>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v>
      </c>
      <c r="B6" s="2598">
        <f ca="1">IF(F6="是",'数据-取费表'!AO6,0)</f>
        <v>18289</v>
      </c>
      <c r="C6" s="1868" t="s">
        <v>1648</v>
      </c>
      <c r="D6" s="2705"/>
      <c r="E6" s="2602">
        <f>IF(OR(A6=0,F6="否"),0,'数据-取费表'!K6+'数据-取费表'!S6)</f>
        <v>20228.239999999998</v>
      </c>
      <c r="F6" s="1872" t="s">
        <v>1654</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1648</v>
      </c>
      <c r="D7" s="2705"/>
      <c r="E7" s="2602">
        <f>IF(OR(A7=0,F7="否"),0,'数据-取费表'!K7+'数据-取费表'!S7)</f>
        <v>0</v>
      </c>
      <c r="F7" s="1872" t="s">
        <v>1654</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1648</v>
      </c>
      <c r="D8" s="2705"/>
      <c r="E8" s="2602">
        <f>IF(OR(A8=0,F8="否"),0,'数据-取费表'!K8+'数据-取费表'!S8)</f>
        <v>0</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sheetPr>
  <dimension ref="A1:AK83"/>
  <sheetViews>
    <sheetView view="pageBreakPreview" zoomScale="70" zoomScaleNormal="70" zoomScaleSheetLayoutView="70" workbookViewId="0">
      <selection activeCell="I45" sqref="I4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v>
      </c>
      <c r="D1" s="1358" t="s">
        <v>43</v>
      </c>
      <c r="E1" s="1359" t="s">
        <v>677</v>
      </c>
      <c r="F1" s="1058">
        <f ca="1">J53</f>
        <v>31</v>
      </c>
      <c r="G1" s="1374">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18289</v>
      </c>
      <c r="C2" s="1383" t="s">
        <v>804</v>
      </c>
      <c r="D2" s="1383"/>
      <c r="E2" s="1384"/>
      <c r="F2" s="1385"/>
      <c r="G2" s="2702"/>
      <c r="H2" s="2691"/>
      <c r="I2" s="2691"/>
      <c r="J2" s="2691"/>
      <c r="K2" s="2692"/>
      <c r="L2" s="2691"/>
      <c r="M2" s="2691"/>
    </row>
    <row r="3" spans="1:37" ht="18" customHeight="1" thickBot="1">
      <c r="A3" s="1386" t="s">
        <v>805</v>
      </c>
      <c r="B3" s="1387">
        <f ca="1">IF(ISERROR(B2*10000/F43),0,ROUND(B2*10000/F43,0))</f>
        <v>9041</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1257</v>
      </c>
      <c r="D5" s="1360" t="s">
        <v>692</v>
      </c>
      <c r="E5" s="1067"/>
      <c r="F5" s="1068"/>
      <c r="G5" s="1380"/>
      <c r="H5" s="299">
        <v>1</v>
      </c>
      <c r="I5" s="300" t="s">
        <v>691</v>
      </c>
      <c r="J5" s="1066">
        <f ca="1">J6+J10+J12</f>
        <v>0</v>
      </c>
      <c r="K5" s="1360" t="s">
        <v>692</v>
      </c>
      <c r="L5" s="1067"/>
      <c r="M5" s="1068"/>
    </row>
    <row r="6" spans="1:37" ht="18" customHeight="1">
      <c r="A6" s="1065" t="s">
        <v>397</v>
      </c>
      <c r="B6" s="3705" t="s">
        <v>693</v>
      </c>
      <c r="C6" s="1070">
        <f ca="1">ROUND(F6*F8*F7*(1-F9)/10000,0)</f>
        <v>1255</v>
      </c>
      <c r="D6" s="155" t="s">
        <v>2104</v>
      </c>
      <c r="E6" s="302" t="s">
        <v>695</v>
      </c>
      <c r="F6" s="303">
        <f ca="1">INDIRECT("'数据-取费表'!u"&amp;$G$1)</f>
        <v>2</v>
      </c>
      <c r="G6" s="1380"/>
      <c r="H6" s="1065" t="s">
        <v>397</v>
      </c>
      <c r="I6" s="3705" t="s">
        <v>693</v>
      </c>
      <c r="J6" s="301">
        <f ca="1">ROUND(M6*M8*M7*(1-M9)/10000,0)</f>
        <v>0</v>
      </c>
      <c r="K6" s="155" t="s">
        <v>2103</v>
      </c>
      <c r="L6" s="302" t="s">
        <v>695</v>
      </c>
      <c r="M6" s="303">
        <f ca="1">INDIRECT("'数据-取费表'!z"&amp;$G$1)</f>
        <v>0</v>
      </c>
    </row>
    <row r="7" spans="1:37" ht="18" customHeight="1">
      <c r="A7" s="1069"/>
      <c r="B7" s="3706"/>
      <c r="C7" s="1071"/>
      <c r="D7" s="307"/>
      <c r="E7" s="3489" t="s">
        <v>696</v>
      </c>
      <c r="F7" s="303">
        <f ca="1">IF(INDIRECT("'数据-取费表'!ah"&amp;$G$1)="",INDIRECT("'数据-取费表'!k"&amp;$G$1),INDIRECT("'数据-取费表'!ah"&amp;$G$1))</f>
        <v>20228.239999999998</v>
      </c>
      <c r="G7" s="1380"/>
      <c r="H7" s="304"/>
      <c r="I7" s="3706"/>
      <c r="J7" s="306"/>
      <c r="K7" s="307"/>
      <c r="L7" s="302" t="s">
        <v>696</v>
      </c>
      <c r="M7" s="303">
        <f ca="1">F7</f>
        <v>20228.239999999998</v>
      </c>
    </row>
    <row r="8" spans="1:37" ht="18" customHeight="1">
      <c r="A8" s="304"/>
      <c r="B8" s="3706"/>
      <c r="C8" s="306"/>
      <c r="D8" s="307"/>
      <c r="E8" s="302" t="s">
        <v>697</v>
      </c>
      <c r="F8" s="303">
        <f ca="1">INDIRECT("'数据-取费表'!ai"&amp;$G$1)</f>
        <v>365</v>
      </c>
      <c r="G8" s="1380"/>
      <c r="H8" s="304"/>
      <c r="I8" s="3706"/>
      <c r="J8" s="306"/>
      <c r="K8" s="307"/>
      <c r="L8" s="302" t="s">
        <v>697</v>
      </c>
      <c r="M8" s="303">
        <f ca="1">INDIRECT("'数据-取费表'!ai"&amp;$G$1)</f>
        <v>365</v>
      </c>
    </row>
    <row r="9" spans="1:37" ht="18" customHeight="1">
      <c r="A9" s="304"/>
      <c r="B9" s="3707"/>
      <c r="C9" s="306"/>
      <c r="D9" s="307"/>
      <c r="E9" s="302" t="s">
        <v>698</v>
      </c>
      <c r="F9" s="312">
        <f ca="1">INDIRECT("'数据-取费表'!w"&amp;$G$1)</f>
        <v>0.15</v>
      </c>
      <c r="G9" s="1380"/>
      <c r="H9" s="304"/>
      <c r="I9" s="3707"/>
      <c r="J9" s="306"/>
      <c r="K9" s="307"/>
      <c r="L9" s="313" t="s">
        <v>698</v>
      </c>
      <c r="M9" s="314">
        <f ca="1">INDIRECT("'数据-取费表'!ab"&amp;$G$1)</f>
        <v>0</v>
      </c>
    </row>
    <row r="10" spans="1:37" ht="18" customHeight="1">
      <c r="A10" s="1065" t="s">
        <v>401</v>
      </c>
      <c r="B10" s="1361" t="s">
        <v>699</v>
      </c>
      <c r="C10" s="316">
        <f ca="1">ROUND(IF(F10="押一",C6/12*F11,IF(F10="押二",C6/12*2*F11,IF(F10="押三",C6/12*3*F11,C11*F11))),0)</f>
        <v>2</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4894</v>
      </c>
      <c r="D13" s="3486" t="s">
        <v>704</v>
      </c>
      <c r="E13" s="3486" t="s">
        <v>705</v>
      </c>
      <c r="F13" s="1078">
        <f ca="1">INDIRECT("'数据-取费表'!y"&amp;$G$1)</f>
        <v>0.69</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5057</v>
      </c>
      <c r="D14" s="3496" t="s">
        <v>707</v>
      </c>
      <c r="E14" s="3495"/>
      <c r="F14" s="319"/>
      <c r="G14" s="1380"/>
      <c r="H14" s="978" t="s">
        <v>397</v>
      </c>
      <c r="I14" s="302" t="s">
        <v>708</v>
      </c>
      <c r="J14" s="21">
        <f ca="1">C29</f>
        <v>7093</v>
      </c>
      <c r="K14" s="3488"/>
      <c r="L14" s="803"/>
      <c r="M14" s="804"/>
    </row>
    <row r="15" spans="1:37" s="1393" customFormat="1" ht="18" customHeight="1" thickBot="1">
      <c r="A15" s="978" t="s">
        <v>398</v>
      </c>
      <c r="B15" s="302" t="s">
        <v>709</v>
      </c>
      <c r="C15" s="21">
        <f ca="1">ROUND(C14*F15,0)</f>
        <v>152</v>
      </c>
      <c r="D15" s="3487" t="s">
        <v>710</v>
      </c>
      <c r="E15" s="3487" t="s">
        <v>711</v>
      </c>
      <c r="F15" s="321">
        <f>'数据-取费表'!B33</f>
        <v>0.03</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47</v>
      </c>
      <c r="K16" s="1083" t="s">
        <v>714</v>
      </c>
      <c r="L16" s="3498"/>
      <c r="M16" s="1068"/>
    </row>
    <row r="17" spans="1:37" s="1393" customFormat="1" ht="18" customHeight="1">
      <c r="A17" s="978" t="s">
        <v>680</v>
      </c>
      <c r="B17" s="302" t="s">
        <v>715</v>
      </c>
      <c r="C17" s="21">
        <f ca="1">ROUND(F17*(F43+INDIRECT("'数据-取费表'!S"&amp;$G$1))/10000,0)</f>
        <v>405</v>
      </c>
      <c r="D17" s="302" t="s">
        <v>716</v>
      </c>
      <c r="E17" s="302" t="s">
        <v>717</v>
      </c>
      <c r="F17" s="23">
        <f>'数据-取费表'!B35</f>
        <v>200</v>
      </c>
      <c r="G17" s="1392"/>
      <c r="H17" s="978" t="s">
        <v>397</v>
      </c>
      <c r="I17" s="302" t="s">
        <v>718</v>
      </c>
      <c r="J17" s="2312">
        <f ca="1">ROUND(IF(AND(项目基本情况!B11="自然人",项目基本情况!B10="北京市"),J6*M17/(1+'数据-取费表'!C42),J18+J19+J20),2)</f>
        <v>11.04</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101</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5715</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114</v>
      </c>
      <c r="D20" s="2424" t="s">
        <v>728</v>
      </c>
      <c r="E20" s="302" t="s">
        <v>711</v>
      </c>
      <c r="F20" s="322">
        <f>'数据-取费表'!B37</f>
        <v>0.02</v>
      </c>
      <c r="G20" s="1392"/>
      <c r="H20" s="978" t="s">
        <v>679</v>
      </c>
      <c r="I20" s="155" t="s">
        <v>729</v>
      </c>
      <c r="J20" s="22">
        <f ca="1">ROUND(M20*M21/10000,2)</f>
        <v>11.04</v>
      </c>
      <c r="K20" s="324" t="s">
        <v>730</v>
      </c>
      <c r="L20" s="302" t="s">
        <v>731</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73586.240000000005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35.47</v>
      </c>
      <c r="K22" s="3497"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150</v>
      </c>
      <c r="D23" s="329" t="str">
        <f>IF(F23&lt;=1,"(建造成本+管理费用)×利率×(建设周期÷2)","(建造成本+管理费用)×((1+利率)^(建设周期÷2)-1)")</f>
        <v>(建造成本+管理费用)×((1+利率)^(建设周期÷2)-1)</v>
      </c>
      <c r="E23" s="302" t="s">
        <v>740</v>
      </c>
      <c r="F23" s="325">
        <f>'数据-取费表'!B20</f>
        <v>1.5</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5.0000000000000001E-4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-47</v>
      </c>
      <c r="K25" s="1091" t="s">
        <v>752</v>
      </c>
      <c r="L25" s="1092"/>
      <c r="M25" s="1093"/>
    </row>
    <row r="26" spans="1:37">
      <c r="A26" s="978" t="s">
        <v>396</v>
      </c>
      <c r="B26" s="302" t="s">
        <v>753</v>
      </c>
      <c r="C26" s="21">
        <f ca="1">ROUND((C19+C20)*F26,0)</f>
        <v>583</v>
      </c>
      <c r="D26" s="2424" t="s">
        <v>754</v>
      </c>
      <c r="E26" s="313" t="s">
        <v>755</v>
      </c>
      <c r="F26" s="312">
        <f ca="1">INDIRECT("'数据-取费表'!q"&amp;$G$1)</f>
        <v>0.1</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2E-3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5.2400000000000002E-2</v>
      </c>
      <c r="D28" s="2424" t="s">
        <v>764</v>
      </c>
      <c r="E28" s="302" t="s">
        <v>711</v>
      </c>
      <c r="F28" s="322">
        <f>'数据-取费表'!B41</f>
        <v>5.5000000000000007E-2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7093</v>
      </c>
      <c r="D29" s="1088"/>
      <c r="E29" s="1086"/>
      <c r="F29" s="1089"/>
      <c r="G29" s="1392"/>
      <c r="H29" s="334" t="s">
        <v>395</v>
      </c>
      <c r="I29" s="335" t="s">
        <v>767</v>
      </c>
      <c r="J29" s="336">
        <f ca="1">ROUND(J26/(1+F40)^F41,0)</f>
        <v>0</v>
      </c>
      <c r="K29" s="337" t="s">
        <v>768</v>
      </c>
      <c r="L29" s="338"/>
      <c r="M29" s="339">
        <f ca="1">INDIRECT("'数据-取费表'!k"&amp;$G$1)</f>
        <v>20228.239999999998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273</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220.21</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65.739999999999995</v>
      </c>
      <c r="D32" s="3497" t="s">
        <v>723</v>
      </c>
      <c r="E32" s="302" t="s">
        <v>711</v>
      </c>
      <c r="F32" s="331">
        <f>'数据-取费表'!B41</f>
        <v>5.5000000000000007E-2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143.43</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11.04</v>
      </c>
      <c r="D34" s="324" t="s">
        <v>730</v>
      </c>
      <c r="E34" s="302" t="s">
        <v>731</v>
      </c>
      <c r="F34" s="325">
        <f>'数据-取费表'!B52</f>
        <v>1.5</v>
      </c>
      <c r="G34" s="1380"/>
      <c r="H34" s="2693"/>
      <c r="I34" s="1394"/>
      <c r="J34" s="1395"/>
      <c r="K34" s="2698"/>
      <c r="L34" s="2699"/>
      <c r="M34" s="2699"/>
    </row>
    <row r="35" spans="1:18" ht="18" customHeight="1">
      <c r="A35" s="1099"/>
      <c r="B35" s="1097"/>
      <c r="C35" s="26"/>
      <c r="D35" s="327"/>
      <c r="E35" s="302" t="s">
        <v>735</v>
      </c>
      <c r="F35" s="303">
        <f ca="1">INDIRECT("'数据-取费表'!r"&amp;$G$1)</f>
        <v>73586.240000000005</v>
      </c>
      <c r="G35" s="1380"/>
      <c r="H35" s="2693"/>
      <c r="I35" s="1394"/>
      <c r="J35" s="1395" t="e">
        <f ca="1">C5+'收益法-商业'!C5</f>
        <v>#N/A</v>
      </c>
      <c r="K35" s="2697"/>
      <c r="L35" s="2696"/>
      <c r="M35" s="2696"/>
    </row>
    <row r="36" spans="1:18" ht="18" customHeight="1">
      <c r="A36" s="1098" t="s">
        <v>401</v>
      </c>
      <c r="B36" s="302" t="s">
        <v>737</v>
      </c>
      <c r="C36" s="21">
        <f ca="1">ROUND(C29*F36,2)</f>
        <v>35.47</v>
      </c>
      <c r="D36" s="3497"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4.8899999999999997</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12.57</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984</v>
      </c>
      <c r="D39" s="1091" t="s">
        <v>772</v>
      </c>
      <c r="E39" s="1092"/>
      <c r="F39" s="1093"/>
      <c r="G39" s="1380"/>
      <c r="H39" s="2696"/>
      <c r="I39" s="1394">
        <f ca="1">C39/C6</f>
        <v>0.78406374501992027</v>
      </c>
      <c r="J39" s="1395"/>
      <c r="K39" s="2700"/>
      <c r="L39" s="2696"/>
      <c r="M39" s="2696"/>
    </row>
    <row r="40" spans="1:18" ht="18" customHeight="1">
      <c r="A40" s="299" t="s">
        <v>394</v>
      </c>
      <c r="B40" s="300" t="s">
        <v>773</v>
      </c>
      <c r="C40" s="301">
        <f ca="1">ROUND(C39*(1-((1+F42)/(1+F40))^F41)/(F40-F42),0)</f>
        <v>18235</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31</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ROUND(C40*10000/F43,0)</f>
        <v>9015</v>
      </c>
      <c r="D43" s="337" t="s">
        <v>776</v>
      </c>
      <c r="E43" s="338" t="s">
        <v>777</v>
      </c>
      <c r="F43" s="339">
        <f ca="1">INDIRECT("'数据-取费表'!k"&amp;$G$1)</f>
        <v>20228.239999999998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-18986</v>
      </c>
      <c r="D46" s="1402" t="str">
        <f>C2</f>
        <v>万元</v>
      </c>
      <c r="E46" s="1396"/>
      <c r="F46" s="1396"/>
      <c r="I46" s="1403" t="s">
        <v>809</v>
      </c>
      <c r="J46" s="1404"/>
      <c r="K46" s="1405"/>
      <c r="L46" s="1406">
        <f ca="1">IF(M47="住宅",0,IF(L48&gt;J51,L60,J60))</f>
        <v>54</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18235</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31.39</v>
      </c>
      <c r="O48" s="1414" t="s">
        <v>403</v>
      </c>
      <c r="P48" s="1415" t="s">
        <v>820</v>
      </c>
      <c r="Q48" s="1416" t="str">
        <f ca="1">J60</f>
        <v>0</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1995</v>
      </c>
      <c r="K49" s="1419" t="s">
        <v>823</v>
      </c>
      <c r="L49" s="1423"/>
      <c r="O49" s="1424" t="s">
        <v>404</v>
      </c>
      <c r="P49" s="1415" t="s">
        <v>824</v>
      </c>
      <c r="Q49" s="1416">
        <f ca="1">C29</f>
        <v>7093</v>
      </c>
      <c r="R49" s="1416" t="s">
        <v>817</v>
      </c>
    </row>
    <row r="50" spans="1:18" s="1380" customFormat="1" ht="13.5" thickBot="1">
      <c r="A50" s="972"/>
      <c r="B50" s="975"/>
      <c r="C50" s="1114"/>
      <c r="D50" s="949"/>
      <c r="E50" s="1052" t="s">
        <v>696</v>
      </c>
      <c r="F50" s="1053">
        <f ca="1">F7</f>
        <v>20228.239999999998</v>
      </c>
      <c r="H50" s="722"/>
      <c r="I50" s="1417" t="s">
        <v>825</v>
      </c>
      <c r="J50" s="1425">
        <f>SUMPRODUCT((I63:I65=J47)*(J62:L62=J48)*(J63:L65))</f>
        <v>60</v>
      </c>
      <c r="K50" s="1419" t="s">
        <v>826</v>
      </c>
      <c r="L50" s="1423">
        <f>基准地价修正!B2</f>
        <v>6895</v>
      </c>
      <c r="M50" s="1426"/>
      <c r="O50" s="1424" t="s">
        <v>405</v>
      </c>
      <c r="P50" s="1415" t="s">
        <v>827</v>
      </c>
      <c r="Q50" s="1427" t="e">
        <f ca="1">J58</f>
        <v>#VALUE!</v>
      </c>
      <c r="R50" s="1416"/>
    </row>
    <row r="51" spans="1:18" s="1380" customFormat="1" ht="13.5" thickBot="1">
      <c r="A51" s="973"/>
      <c r="B51" s="975"/>
      <c r="C51" s="976"/>
      <c r="D51" s="949"/>
      <c r="E51" s="977" t="s">
        <v>697</v>
      </c>
      <c r="F51" s="303">
        <f ca="1">F8</f>
        <v>365</v>
      </c>
      <c r="I51" s="1428" t="s">
        <v>828</v>
      </c>
      <c r="J51" s="1429">
        <f>IF(J49="",J50,J49+J50-YEAR('数据-取费表'!B2))</f>
        <v>31</v>
      </c>
      <c r="K51" s="1430" t="s">
        <v>829</v>
      </c>
      <c r="L51" s="1431">
        <f ca="1">ROUND(-PV(INDIRECT("'数据-取费表'!h"&amp;$G$1),J51,(C39-C13*C76),0),0)</f>
        <v>10002</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f>'数据-取费表'!H6</f>
        <v>0.05</v>
      </c>
      <c r="O52" s="1424" t="s">
        <v>407</v>
      </c>
      <c r="P52" s="1415" t="s">
        <v>833</v>
      </c>
      <c r="Q52" s="1416">
        <f ca="1">J53</f>
        <v>31</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31</v>
      </c>
      <c r="K53" s="3708" t="s">
        <v>836</v>
      </c>
      <c r="L53" s="3709"/>
      <c r="O53" s="1414" t="s">
        <v>408</v>
      </c>
      <c r="P53" s="1415" t="s">
        <v>837</v>
      </c>
      <c r="Q53" s="1416">
        <f ca="1">Q47+Q48</f>
        <v>18235</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t="e">
        <f ca="1">ROUND(IF(J47="钢混",J57/J50,1-(1-2%)*(J50-J57)/J50),3)</f>
        <v>#VALUE!</v>
      </c>
      <c r="K55" s="1441" t="s">
        <v>840</v>
      </c>
      <c r="L55" s="1442" t="s">
        <v>3502</v>
      </c>
      <c r="O55" s="1407" t="s">
        <v>810</v>
      </c>
      <c r="P55" s="1408" t="s">
        <v>811</v>
      </c>
      <c r="Q55" s="1409" t="s">
        <v>812</v>
      </c>
      <c r="R55" s="1409" t="s">
        <v>813</v>
      </c>
    </row>
    <row r="56" spans="1:18" s="1380" customFormat="1" ht="25.5" thickTop="1" thickBot="1">
      <c r="A56" s="953">
        <v>2</v>
      </c>
      <c r="B56" s="954" t="s">
        <v>703</v>
      </c>
      <c r="C56" s="232">
        <f ca="1">C13</f>
        <v>4894</v>
      </c>
      <c r="D56" s="1443"/>
      <c r="E56" s="1444"/>
      <c r="F56" s="1436"/>
      <c r="I56" s="1445" t="s">
        <v>841</v>
      </c>
      <c r="J56" s="1446" t="s">
        <v>3380</v>
      </c>
      <c r="K56" s="1417" t="s">
        <v>842</v>
      </c>
      <c r="L56" s="1420">
        <f ca="1">IF(L48&lt;J51,"——",L48-J53)</f>
        <v>0.39000000000000057</v>
      </c>
      <c r="O56" s="1414" t="s">
        <v>402</v>
      </c>
      <c r="P56" s="1415" t="s">
        <v>816</v>
      </c>
      <c r="Q56" s="1416">
        <f ca="1">C40+J29</f>
        <v>18235</v>
      </c>
      <c r="R56" s="1416" t="s">
        <v>817</v>
      </c>
    </row>
    <row r="57" spans="1:18" s="1380" customFormat="1" ht="24.75" thickBot="1">
      <c r="A57" s="1447"/>
      <c r="B57" s="946" t="s">
        <v>766</v>
      </c>
      <c r="C57" s="238">
        <f ca="1">C29</f>
        <v>7093</v>
      </c>
      <c r="D57" s="1448"/>
      <c r="E57" s="1449"/>
      <c r="F57" s="1450"/>
      <c r="I57" s="1451" t="s">
        <v>843</v>
      </c>
      <c r="J57" s="1452" t="str">
        <f ca="1">IF(OR(M47="住宅",J51&lt;L48,J56="是"),"——",J51-L48)</f>
        <v>——</v>
      </c>
      <c r="K57" s="1417" t="s">
        <v>844</v>
      </c>
      <c r="L57" s="1420">
        <f ca="1">IF(L48&lt;J51,"——",IF(L55="比较法",L49,IF(L55="基准地价",L50,L51)))</f>
        <v>10002</v>
      </c>
      <c r="O57" s="1414" t="s">
        <v>403</v>
      </c>
      <c r="P57" s="1415" t="s">
        <v>845</v>
      </c>
      <c r="Q57" s="1416">
        <f ca="1">L60</f>
        <v>54</v>
      </c>
      <c r="R57" s="1416" t="s">
        <v>846</v>
      </c>
    </row>
    <row r="58" spans="1:18" s="1380" customFormat="1" ht="24.75" thickBot="1">
      <c r="A58" s="315" t="s">
        <v>392</v>
      </c>
      <c r="B58" s="954" t="s">
        <v>713</v>
      </c>
      <c r="C58" s="316">
        <f ca="1">ROUND(C59+C64+C65+C66,0)</f>
        <v>51</v>
      </c>
      <c r="D58" s="956" t="s">
        <v>714</v>
      </c>
      <c r="E58" s="957"/>
      <c r="F58" s="958"/>
      <c r="I58" s="1451" t="s">
        <v>847</v>
      </c>
      <c r="J58" s="1453" t="e">
        <f ca="1">IF(J55&lt;0.4,0.4,J55)</f>
        <v>#VALUE!</v>
      </c>
      <c r="K58" s="1430" t="s">
        <v>848</v>
      </c>
      <c r="L58" s="1420">
        <f ca="1">ROUND(POWER(1+L52,L47-L48)*(POWER(1+L52,L48)-1)/(POWER(1+L52,L47)-1),4)</f>
        <v>0.85870000000000002</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11</v>
      </c>
      <c r="D59" s="959" t="s">
        <v>719</v>
      </c>
      <c r="E59" s="960" t="s">
        <v>720</v>
      </c>
      <c r="F59" s="2311" t="str">
        <f>IF(项目基本情况!B11="企业","——",IF('数据-取费表'!B10="住宅",IF(F49*F50*F51/12/(1+'数据-取费表'!F30)&gt;100000,4%,2.5%),IF(F49*F50*F51/12/(1+'数据-取费表'!F30)&gt;100000,12%,7%)))</f>
        <v>——</v>
      </c>
      <c r="I59" s="1451" t="s">
        <v>850</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0.85409999999999997</v>
      </c>
      <c r="M59" s="1376">
        <f ca="1">ROUND(POWER(1+L52,L47-(J51+'数据-取费表'!B24))*(POWER(1+L52,(J51+'数据-取费表'!B24))-1)/(POWER(1+L52,L47)-1),4)</f>
        <v>0.85409999999999997</v>
      </c>
      <c r="N59" s="1376">
        <f ca="1">ROUND(POWER(1+L52,L47-(J51+'数据-取费表'!B20))*(POWER(1+L52,(J51+'数据-取费表'!B20))-1)/(POWER(1+L52,L47)-1),4)</f>
        <v>0.87119999999999997</v>
      </c>
      <c r="O59" s="1424" t="s">
        <v>405</v>
      </c>
      <c r="P59" s="1415" t="s">
        <v>851</v>
      </c>
      <c r="Q59" s="1427">
        <f>L52</f>
        <v>0.05</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5.5000000000000007E-2</v>
      </c>
      <c r="I60" s="1454" t="s">
        <v>852</v>
      </c>
      <c r="J60" s="1455" t="str">
        <f ca="1">IF(OR(M47="住宅",J51&lt;L48,J56="是"),"0",ROUND(J59/(1+J52)^J53,0))</f>
        <v>0</v>
      </c>
      <c r="K60" s="1456" t="s">
        <v>853</v>
      </c>
      <c r="L60" s="1455">
        <f ca="1">IF(OR(M47="住宅",L48&lt;J51),0,ROUND(L57*(L58/L59-1),0))</f>
        <v>54</v>
      </c>
      <c r="O60" s="1424" t="s">
        <v>406</v>
      </c>
      <c r="P60" s="1415" t="s">
        <v>854</v>
      </c>
      <c r="Q60" s="1416">
        <f ca="1">L58</f>
        <v>0.85870000000000002</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f ca="1">L59</f>
        <v>0.85409999999999997</v>
      </c>
      <c r="R61" s="1416" t="s">
        <v>856</v>
      </c>
    </row>
    <row r="62" spans="1:18" s="1380" customFormat="1" ht="13.5" thickBot="1">
      <c r="A62" s="978" t="s">
        <v>783</v>
      </c>
      <c r="B62" s="945" t="s">
        <v>784</v>
      </c>
      <c r="C62" s="22">
        <f ca="1">IF(项目基本情况!B11="自然人","——",ROUND(F62*F63/10000,2))</f>
        <v>11.04</v>
      </c>
      <c r="D62" s="961" t="s">
        <v>785</v>
      </c>
      <c r="E62" s="946" t="s">
        <v>786</v>
      </c>
      <c r="F62" s="325">
        <f t="shared" si="0"/>
        <v>1.5</v>
      </c>
      <c r="I62" s="1458" t="s">
        <v>857</v>
      </c>
      <c r="J62" s="1459" t="s">
        <v>858</v>
      </c>
      <c r="K62" s="1459" t="s">
        <v>859</v>
      </c>
      <c r="L62" s="1459" t="s">
        <v>860</v>
      </c>
      <c r="M62" s="1460" t="s">
        <v>861</v>
      </c>
      <c r="O62" s="1414" t="s">
        <v>408</v>
      </c>
      <c r="P62" s="1415" t="s">
        <v>862</v>
      </c>
      <c r="Q62" s="1416">
        <f ca="1">Q56+Q57</f>
        <v>18289</v>
      </c>
      <c r="R62" s="1416" t="s">
        <v>409</v>
      </c>
    </row>
    <row r="63" spans="1:18" s="1380" customFormat="1" ht="13.5" thickBot="1">
      <c r="A63" s="326"/>
      <c r="B63" s="952"/>
      <c r="C63" s="26"/>
      <c r="D63" s="962"/>
      <c r="E63" s="946" t="s">
        <v>787</v>
      </c>
      <c r="F63" s="303">
        <f t="shared" ca="1" si="0"/>
        <v>73586.240000000005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35.47</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4.8899999999999997</v>
      </c>
      <c r="D65" s="960" t="s">
        <v>742</v>
      </c>
      <c r="E65" s="946" t="s">
        <v>743</v>
      </c>
      <c r="F65" s="330">
        <f t="shared" ca="1" si="0"/>
        <v>1E-3</v>
      </c>
      <c r="I65" s="1458" t="s">
        <v>866</v>
      </c>
      <c r="J65" s="1459">
        <v>40</v>
      </c>
      <c r="K65" s="1459">
        <v>30</v>
      </c>
      <c r="L65" s="1459">
        <v>50</v>
      </c>
      <c r="M65" s="1461">
        <v>0.02</v>
      </c>
      <c r="O65" s="1414" t="s">
        <v>402</v>
      </c>
      <c r="P65" s="1415" t="s">
        <v>867</v>
      </c>
      <c r="Q65" s="1416">
        <f ca="1">C40+J29</f>
        <v>18235</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54</v>
      </c>
      <c r="R66" s="1416" t="s">
        <v>868</v>
      </c>
    </row>
    <row r="67" spans="1:18" s="1380" customFormat="1" ht="16.5" thickBot="1">
      <c r="A67" s="953" t="s">
        <v>393</v>
      </c>
      <c r="B67" s="963" t="s">
        <v>751</v>
      </c>
      <c r="C67" s="316">
        <f ca="1">C48-C58</f>
        <v>-51</v>
      </c>
      <c r="D67" s="959" t="s">
        <v>752</v>
      </c>
      <c r="E67" s="964"/>
      <c r="F67" s="965"/>
      <c r="O67" s="1424" t="s">
        <v>404</v>
      </c>
      <c r="P67" s="1415" t="s">
        <v>849</v>
      </c>
      <c r="Q67" s="1462">
        <f ca="1">L51</f>
        <v>10002</v>
      </c>
      <c r="R67" s="1416" t="s">
        <v>869</v>
      </c>
    </row>
    <row r="68" spans="1:18" s="1380" customFormat="1" ht="16.5" thickBot="1">
      <c r="A68" s="943" t="s">
        <v>394</v>
      </c>
      <c r="B68" s="944" t="s">
        <v>773</v>
      </c>
      <c r="C68" s="301">
        <f ca="1">ROUND(C67*(1-((1+F70)/(1+F68))^F69)/(F68-F70),0)</f>
        <v>-751</v>
      </c>
      <c r="D68" s="961" t="s">
        <v>757</v>
      </c>
      <c r="E68" s="946" t="s">
        <v>758</v>
      </c>
      <c r="F68" s="312">
        <f ca="1">F40</f>
        <v>5.5E-2</v>
      </c>
      <c r="O68" s="1424" t="s">
        <v>405</v>
      </c>
      <c r="P68" s="1463" t="s">
        <v>870</v>
      </c>
      <c r="Q68" s="1416">
        <f ca="1">ROUND(Q69-Q70*Q71,0)</f>
        <v>641</v>
      </c>
      <c r="R68" s="1416" t="s">
        <v>413</v>
      </c>
    </row>
    <row r="69" spans="1:18" s="1380" customFormat="1" ht="13.5" thickBot="1">
      <c r="A69" s="947"/>
      <c r="B69" s="948"/>
      <c r="C69" s="306"/>
      <c r="D69" s="966" t="s">
        <v>761</v>
      </c>
      <c r="E69" s="946" t="s">
        <v>762</v>
      </c>
      <c r="F69" s="333">
        <f ca="1">F41</f>
        <v>31</v>
      </c>
      <c r="O69" s="1424" t="s">
        <v>410</v>
      </c>
      <c r="P69" s="1463" t="s">
        <v>871</v>
      </c>
      <c r="Q69" s="1416">
        <f ca="1">C39</f>
        <v>984</v>
      </c>
      <c r="R69" s="1416" t="s">
        <v>817</v>
      </c>
    </row>
    <row r="70" spans="1:18" s="1380" customFormat="1" ht="13.5" thickBot="1">
      <c r="A70" s="950"/>
      <c r="B70" s="951"/>
      <c r="C70" s="310"/>
      <c r="D70" s="962"/>
      <c r="E70" s="946" t="s">
        <v>765</v>
      </c>
      <c r="F70" s="1050"/>
      <c r="O70" s="1424" t="s">
        <v>411</v>
      </c>
      <c r="P70" s="1463" t="s">
        <v>872</v>
      </c>
      <c r="Q70" s="1416">
        <f ca="1">C13</f>
        <v>4894</v>
      </c>
      <c r="R70" s="1416" t="s">
        <v>817</v>
      </c>
    </row>
    <row r="71" spans="1:18" s="1380" customFormat="1" ht="13.5" thickBot="1">
      <c r="A71" s="967" t="s">
        <v>395</v>
      </c>
      <c r="B71" s="968" t="s">
        <v>775</v>
      </c>
      <c r="C71" s="336">
        <f ca="1">ROUND(C68*10000/F71,0)</f>
        <v>-371</v>
      </c>
      <c r="D71" s="969" t="s">
        <v>776</v>
      </c>
      <c r="E71" s="970" t="s">
        <v>777</v>
      </c>
      <c r="F71" s="339">
        <f ca="1">F43</f>
        <v>20228.239999999998</v>
      </c>
      <c r="O71" s="1424" t="s">
        <v>412</v>
      </c>
      <c r="P71" s="1463" t="s">
        <v>873</v>
      </c>
      <c r="Q71" s="1427">
        <f ca="1">C76</f>
        <v>7.0000000000000007E-2</v>
      </c>
      <c r="R71" s="1416"/>
    </row>
    <row r="72" spans="1:18" s="1380" customFormat="1" ht="13.5" thickBot="1">
      <c r="B72" s="725"/>
      <c r="C72" s="725"/>
      <c r="O72" s="1424" t="s">
        <v>406</v>
      </c>
      <c r="P72" s="1415" t="s">
        <v>851</v>
      </c>
      <c r="Q72" s="1427">
        <f>L52</f>
        <v>0.05</v>
      </c>
      <c r="R72" s="1416"/>
    </row>
    <row r="73" spans="1:18" ht="16.5" thickBot="1">
      <c r="A73" s="1380"/>
      <c r="B73" s="725"/>
      <c r="C73" s="725"/>
      <c r="D73" s="1380"/>
      <c r="E73" s="1380"/>
      <c r="F73" s="1380"/>
      <c r="O73" s="1424" t="s">
        <v>407</v>
      </c>
      <c r="P73" s="1415" t="s">
        <v>854</v>
      </c>
      <c r="Q73" s="1416">
        <f ca="1">L58</f>
        <v>0.85870000000000002</v>
      </c>
      <c r="R73" s="1416" t="s">
        <v>855</v>
      </c>
    </row>
    <row r="74" spans="1:18" ht="13.5" thickBot="1">
      <c r="A74" s="1380"/>
      <c r="B74" s="273" t="s">
        <v>874</v>
      </c>
      <c r="C74" s="1465"/>
      <c r="D74" s="1380"/>
      <c r="E74" s="1380"/>
      <c r="F74" s="1380"/>
      <c r="O74" s="1424" t="s">
        <v>414</v>
      </c>
      <c r="P74" s="1415" t="str">
        <f>K59</f>
        <v>建筑物剩余耐用年限下的土地年期修正系数Kn</v>
      </c>
      <c r="Q74" s="1416">
        <f ca="1">L59</f>
        <v>0.85409999999999997</v>
      </c>
      <c r="R74" s="1416" t="s">
        <v>856</v>
      </c>
    </row>
    <row r="75" spans="1:18" ht="13.5" thickBot="1">
      <c r="A75" s="1380"/>
      <c r="B75" s="340" t="s">
        <v>794</v>
      </c>
      <c r="C75" s="341">
        <f ca="1">ROUND(C13*C76,0)</f>
        <v>343</v>
      </c>
      <c r="D75" s="1380"/>
      <c r="E75" s="1380"/>
      <c r="F75" s="1380"/>
      <c r="K75" s="1398"/>
      <c r="L75" s="1380"/>
      <c r="O75" s="1414" t="s">
        <v>408</v>
      </c>
      <c r="P75" s="1415" t="s">
        <v>837</v>
      </c>
      <c r="Q75" s="1416">
        <f ca="1">Q65+Q66</f>
        <v>18289</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0.65100000000000002</v>
      </c>
    </row>
    <row r="80" spans="1:18">
      <c r="B80" s="340" t="s">
        <v>799</v>
      </c>
      <c r="C80" s="274">
        <f ca="1">ROUND(C75/C39,3)</f>
        <v>0.34899999999999998</v>
      </c>
    </row>
    <row r="81" spans="2:3">
      <c r="B81" s="270" t="s">
        <v>800</v>
      </c>
      <c r="C81" s="238"/>
    </row>
    <row r="82" spans="2:3">
      <c r="B82" s="273" t="s">
        <v>801</v>
      </c>
      <c r="C82" s="275">
        <f ca="1">1-C83</f>
        <v>0.73199999999999998</v>
      </c>
    </row>
    <row r="83" spans="2:3">
      <c r="B83" s="273" t="s">
        <v>802</v>
      </c>
      <c r="C83" s="274">
        <f ca="1">ROUND(C13/C40,3)</f>
        <v>0.26800000000000002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K3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705" t="s">
        <v>693</v>
      </c>
      <c r="C6" s="1070" t="e">
        <f ca="1">ROUND(F6*F8*F7*(1-F9)/10000,0)</f>
        <v>#N/A</v>
      </c>
      <c r="D6" s="155" t="s">
        <v>2104</v>
      </c>
      <c r="E6" s="302" t="s">
        <v>695</v>
      </c>
      <c r="F6" s="303" t="e">
        <f ca="1">INDIRECT("'数据-取费表'!u"&amp;$G$1)</f>
        <v>#N/A</v>
      </c>
      <c r="G6" s="1380"/>
      <c r="H6" s="1065" t="s">
        <v>397</v>
      </c>
      <c r="I6" s="3705" t="s">
        <v>693</v>
      </c>
      <c r="J6" s="301" t="e">
        <f ca="1">ROUND(M6*M8*M7*(1-M9)/10000,0)</f>
        <v>#N/A</v>
      </c>
      <c r="K6" s="155" t="s">
        <v>2103</v>
      </c>
      <c r="L6" s="302" t="s">
        <v>695</v>
      </c>
      <c r="M6" s="303" t="e">
        <f ca="1">INDIRECT("'数据-取费表'!z"&amp;$G$1)</f>
        <v>#N/A</v>
      </c>
    </row>
    <row r="7" spans="1:37" ht="18" customHeight="1">
      <c r="A7" s="1069"/>
      <c r="B7" s="3706"/>
      <c r="C7" s="1071"/>
      <c r="D7" s="307"/>
      <c r="E7" s="1072" t="s">
        <v>696</v>
      </c>
      <c r="F7" s="303" t="e">
        <f ca="1">IF(INDIRECT("'数据-取费表'!ah"&amp;$G$1)="",INDIRECT("'数据-取费表'!k"&amp;$G$1),INDIRECT("'数据-取费表'!ah"&amp;$G$1))</f>
        <v>#N/A</v>
      </c>
      <c r="G7" s="1380"/>
      <c r="H7" s="304"/>
      <c r="I7" s="3706"/>
      <c r="J7" s="306"/>
      <c r="K7" s="307"/>
      <c r="L7" s="302" t="s">
        <v>696</v>
      </c>
      <c r="M7" s="303" t="e">
        <f ca="1">F7</f>
        <v>#N/A</v>
      </c>
    </row>
    <row r="8" spans="1:37" ht="18" customHeight="1">
      <c r="A8" s="304"/>
      <c r="B8" s="3706"/>
      <c r="C8" s="306"/>
      <c r="D8" s="307"/>
      <c r="E8" s="302" t="s">
        <v>697</v>
      </c>
      <c r="F8" s="303" t="e">
        <f ca="1">INDIRECT("'数据-取费表'!ai"&amp;$G$1)</f>
        <v>#N/A</v>
      </c>
      <c r="G8" s="1380"/>
      <c r="H8" s="304"/>
      <c r="I8" s="3706"/>
      <c r="J8" s="306"/>
      <c r="K8" s="307"/>
      <c r="L8" s="302" t="s">
        <v>697</v>
      </c>
      <c r="M8" s="303" t="e">
        <f ca="1">INDIRECT("'数据-取费表'!ai"&amp;$G$1)</f>
        <v>#N/A</v>
      </c>
    </row>
    <row r="9" spans="1:37" ht="18" customHeight="1">
      <c r="A9" s="304"/>
      <c r="B9" s="3707"/>
      <c r="C9" s="306"/>
      <c r="D9" s="307"/>
      <c r="E9" s="302" t="s">
        <v>698</v>
      </c>
      <c r="F9" s="312" t="e">
        <f ca="1">INDIRECT("'数据-取费表'!w"&amp;$G$1)</f>
        <v>#N/A</v>
      </c>
      <c r="G9" s="1380"/>
      <c r="H9" s="304"/>
      <c r="I9" s="3707"/>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2112</v>
      </c>
      <c r="E10" s="313" t="s">
        <v>700</v>
      </c>
      <c r="F10" s="1112" t="s">
        <v>3498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1077" t="s">
        <v>704</v>
      </c>
      <c r="E13" s="1077"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1341" t="s">
        <v>707</v>
      </c>
      <c r="E14" s="1338"/>
      <c r="F14" s="319"/>
      <c r="G14" s="1380"/>
      <c r="H14" s="978" t="s">
        <v>397</v>
      </c>
      <c r="I14" s="302" t="s">
        <v>708</v>
      </c>
      <c r="J14" s="21" t="e">
        <f ca="1">C29</f>
        <v>#N/A</v>
      </c>
      <c r="K14" s="12"/>
      <c r="L14" s="803"/>
      <c r="M14" s="804"/>
    </row>
    <row r="15" spans="1:37" s="1393" customFormat="1" ht="18" customHeight="1" thickBot="1">
      <c r="A15" s="978" t="s">
        <v>398</v>
      </c>
      <c r="B15" s="302" t="s">
        <v>709</v>
      </c>
      <c r="C15" s="21" t="e">
        <f ca="1">ROUND(C14*F15,0)</f>
        <v>#N/A</v>
      </c>
      <c r="D15" s="320" t="s">
        <v>710</v>
      </c>
      <c r="E15" s="320" t="s">
        <v>711</v>
      </c>
      <c r="F15" s="321">
        <f>'数据-取费表'!B33</f>
        <v>0.03</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1084"/>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1340" t="s">
        <v>723</v>
      </c>
      <c r="L18" s="302" t="s">
        <v>711</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1356"/>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323" t="s">
        <v>728</v>
      </c>
      <c r="E20" s="302" t="s">
        <v>711</v>
      </c>
      <c r="F20" s="322">
        <f>'数据-取费表'!B37</f>
        <v>0.02</v>
      </c>
      <c r="G20" s="1392"/>
      <c r="H20" s="978" t="s">
        <v>679</v>
      </c>
      <c r="I20" s="155" t="s">
        <v>729</v>
      </c>
      <c r="J20" s="22" t="e">
        <f ca="1">ROUND(M20*M21/10000,2)</f>
        <v>#N/A</v>
      </c>
      <c r="K20" s="324" t="s">
        <v>730</v>
      </c>
      <c r="L20" s="302" t="s">
        <v>731</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15</v>
      </c>
      <c r="D21" s="323"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t="e">
        <f ca="1">ROUND(J14*M22,2)</f>
        <v>#N/A</v>
      </c>
      <c r="K22" s="1340"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1.5</v>
      </c>
      <c r="G23" s="1392"/>
      <c r="H23" s="978" t="s">
        <v>436</v>
      </c>
      <c r="I23" s="302" t="s">
        <v>741</v>
      </c>
      <c r="J23" s="21" t="e">
        <f ca="1">ROUND(J13*M23,2)</f>
        <v>#N/A</v>
      </c>
      <c r="K23" s="1340"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5.0000000000000001E-4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1356"/>
      <c r="F25" s="23"/>
      <c r="G25" s="1380"/>
      <c r="H25" s="1075" t="s">
        <v>393</v>
      </c>
      <c r="I25" s="1090" t="s">
        <v>751</v>
      </c>
      <c r="J25" s="310" t="e">
        <f ca="1">J5-J16</f>
        <v>#N/A</v>
      </c>
      <c r="K25" s="1091" t="s">
        <v>752</v>
      </c>
      <c r="L25" s="1092"/>
      <c r="M25" s="1093"/>
    </row>
    <row r="26" spans="1:37">
      <c r="A26" s="978" t="s">
        <v>396</v>
      </c>
      <c r="B26" s="302" t="s">
        <v>753</v>
      </c>
      <c r="C26" s="21" t="e">
        <f ca="1">ROUND((C19+C20)*F26,0)</f>
        <v>#N/A</v>
      </c>
      <c r="D26" s="323"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323" t="s">
        <v>760</v>
      </c>
      <c r="E27" s="320"/>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5.2400000000000002E-2</v>
      </c>
      <c r="D28" s="323" t="s">
        <v>764</v>
      </c>
      <c r="E28" s="302" t="s">
        <v>711</v>
      </c>
      <c r="F28" s="322">
        <f>'数据-取费表'!B41</f>
        <v>5.5000000000000007E-2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108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1340" t="s">
        <v>723</v>
      </c>
      <c r="E32" s="302" t="s">
        <v>711</v>
      </c>
      <c r="F32" s="331">
        <f>'数据-取费表'!B41</f>
        <v>5.5000000000000007E-2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1.5</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1340"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1340"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772</v>
      </c>
      <c r="E39" s="1092"/>
      <c r="F39" s="1093"/>
      <c r="G39" s="1380"/>
      <c r="H39" s="2696"/>
      <c r="I39" s="1394" t="e">
        <f ca="1">C39/C6</f>
        <v>#N/A</v>
      </c>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1355"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2105</v>
      </c>
      <c r="E49" s="1368" t="s">
        <v>779</v>
      </c>
      <c r="F49" s="1056"/>
      <c r="G49" s="1421"/>
      <c r="H49" s="722"/>
      <c r="I49" s="1417" t="s">
        <v>822</v>
      </c>
      <c r="J49" s="1422">
        <f>'数据-取费表'!N17</f>
        <v>1995</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31</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8" t="s">
        <v>836</v>
      </c>
      <c r="L53" s="3709"/>
      <c r="O53" s="1414" t="s">
        <v>408</v>
      </c>
      <c r="P53" s="1415" t="s">
        <v>837</v>
      </c>
      <c r="Q53" s="1416" t="e">
        <f ca="1">Q47+Q48</f>
        <v>#N/A</v>
      </c>
      <c r="R53" s="1416" t="s">
        <v>409</v>
      </c>
    </row>
    <row r="54" spans="1:18" s="1380" customFormat="1" ht="13.5" thickBot="1">
      <c r="A54" s="1149"/>
      <c r="B54" s="1363" t="s">
        <v>678</v>
      </c>
      <c r="C54" s="955"/>
      <c r="D54" s="1362"/>
      <c r="E54" s="1370"/>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5.5000000000000007E-2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781</v>
      </c>
      <c r="C61" s="21" t="e">
        <f ca="1">IF(项目基本情况!B11="自然人","——",IF(D61="按租金收入计税",ROUND(C49*F61/(1+'数据-取费表'!C42),2),IF(D61="按房产原值计税",ROUND(C57*F61*0.7,2),INDIRECT("'数据-取费表'!Aj"&amp;$G$1))))</f>
        <v>#N/A</v>
      </c>
      <c r="D61" s="1366" t="s">
        <v>3333</v>
      </c>
      <c r="E61" s="946" t="s">
        <v>782</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784</v>
      </c>
      <c r="C62" s="22" t="e">
        <f ca="1">IF(项目基本情况!B11="自然人","——",ROUND(F62*F63/10000,2))</f>
        <v>#N/A</v>
      </c>
      <c r="D62" s="961" t="s">
        <v>785</v>
      </c>
      <c r="E62" s="946" t="s">
        <v>786</v>
      </c>
      <c r="F62" s="325">
        <f t="shared" si="0"/>
        <v>1.5</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t="e">
        <f ca="1">ROUND(C57*F64,2)</f>
        <v>#N/A</v>
      </c>
      <c r="D64" s="960" t="s">
        <v>790</v>
      </c>
      <c r="E64" s="946" t="s">
        <v>782</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8" priority="56">
      <formula>$L$48&gt;$J$51</formula>
    </cfRule>
  </conditionalFormatting>
  <conditionalFormatting sqref="I55 I60">
    <cfRule type="expression" dxfId="197" priority="57">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1763</v>
      </c>
      <c r="C1" s="1234" t="s">
        <v>1659</v>
      </c>
      <c r="D1" s="1221" t="s">
        <v>672</v>
      </c>
      <c r="E1" s="3422" t="s">
        <v>3390</v>
      </c>
      <c r="F1" s="1875" t="s">
        <v>3391</v>
      </c>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1459</v>
      </c>
      <c r="B2" s="1160">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1461</v>
      </c>
      <c r="B3" s="558">
        <f>IF(C2="——",C49,ROUND(B2*10000/D3,0))</f>
        <v>48822</v>
      </c>
      <c r="C3" s="354" t="s">
        <v>1765</v>
      </c>
      <c r="D3" s="353">
        <f>IF(D1="",'数据-汇总表'!E3,SUMIF('数据-汇总表'!$C19:$C33,D1,'数据-汇总表'!$E19:$E33))</f>
        <v>0</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1766</v>
      </c>
      <c r="B4" s="356"/>
      <c r="C4" s="3729" t="s">
        <v>1767</v>
      </c>
      <c r="D4" s="3730"/>
      <c r="E4" s="3731" t="s">
        <v>1768</v>
      </c>
      <c r="F4" s="3732"/>
      <c r="G4" s="3729" t="s">
        <v>1769</v>
      </c>
      <c r="H4" s="3730"/>
      <c r="I4" s="3729" t="s">
        <v>1770</v>
      </c>
      <c r="J4" s="3730"/>
      <c r="K4" s="559" t="s">
        <v>1771</v>
      </c>
      <c r="L4" s="2711"/>
      <c r="M4" s="2712"/>
      <c r="N4" s="2712"/>
      <c r="O4" s="2712"/>
      <c r="P4" s="3733" t="s">
        <v>1772</v>
      </c>
      <c r="Q4" s="3734"/>
      <c r="R4" s="3739" t="s">
        <v>1768</v>
      </c>
      <c r="S4" s="3740"/>
      <c r="T4" s="3739" t="s">
        <v>1769</v>
      </c>
      <c r="U4" s="3740"/>
      <c r="V4" s="3724" t="s">
        <v>1770</v>
      </c>
      <c r="W4" s="3724"/>
      <c r="X4" s="1351"/>
      <c r="Y4" s="3739" t="s">
        <v>1772</v>
      </c>
      <c r="Z4" s="3740"/>
      <c r="AA4" s="3726" t="s">
        <v>1768</v>
      </c>
      <c r="AB4" s="3724" t="s">
        <v>1769</v>
      </c>
      <c r="AC4" s="3726" t="s">
        <v>1770</v>
      </c>
    </row>
    <row r="5" spans="1:29" ht="15">
      <c r="A5" s="358"/>
      <c r="B5" s="359"/>
      <c r="C5" s="3747" t="s">
        <v>1670</v>
      </c>
      <c r="D5" s="3748"/>
      <c r="E5" s="3754" t="s">
        <v>1671</v>
      </c>
      <c r="F5" s="3755"/>
      <c r="G5" s="3747" t="s">
        <v>1672</v>
      </c>
      <c r="H5" s="3748"/>
      <c r="I5" s="3747" t="s">
        <v>1673</v>
      </c>
      <c r="J5" s="3748"/>
      <c r="K5" s="559"/>
      <c r="L5" s="2711"/>
      <c r="M5" s="2712"/>
      <c r="N5" s="2712"/>
      <c r="O5" s="2712"/>
      <c r="P5" s="3735"/>
      <c r="Q5" s="3736"/>
      <c r="R5" s="3741"/>
      <c r="S5" s="3742"/>
      <c r="T5" s="3741"/>
      <c r="U5" s="3742"/>
      <c r="V5" s="3724"/>
      <c r="W5" s="3724"/>
      <c r="X5" s="1351"/>
      <c r="Y5" s="3741"/>
      <c r="Z5" s="3742"/>
      <c r="AA5" s="3727"/>
      <c r="AB5" s="3724"/>
      <c r="AC5" s="3727"/>
    </row>
    <row r="6" spans="1:29" ht="15.75" thickBot="1">
      <c r="A6" s="360"/>
      <c r="B6" s="361"/>
      <c r="C6" s="3745" t="s">
        <v>1674</v>
      </c>
      <c r="D6" s="3746"/>
      <c r="E6" s="3752" t="s">
        <v>1674</v>
      </c>
      <c r="F6" s="3753"/>
      <c r="G6" s="3745" t="s">
        <v>1674</v>
      </c>
      <c r="H6" s="3746"/>
      <c r="I6" s="3745" t="s">
        <v>1674</v>
      </c>
      <c r="J6" s="3746"/>
      <c r="K6" s="559" t="s">
        <v>1675</v>
      </c>
      <c r="L6" s="2711"/>
      <c r="M6" s="2712"/>
      <c r="N6" s="2712"/>
      <c r="O6" s="2712"/>
      <c r="P6" s="3737"/>
      <c r="Q6" s="3738"/>
      <c r="R6" s="3741"/>
      <c r="S6" s="3742"/>
      <c r="T6" s="3743"/>
      <c r="U6" s="3744"/>
      <c r="V6" s="3724"/>
      <c r="W6" s="3724"/>
      <c r="X6" s="1351"/>
      <c r="Y6" s="3743"/>
      <c r="Z6" s="3744"/>
      <c r="AA6" s="3728"/>
      <c r="AB6" s="3724"/>
      <c r="AC6" s="3728"/>
    </row>
    <row r="7" spans="1:29" s="108" customFormat="1" ht="15.75" thickBot="1">
      <c r="A7" s="362" t="s">
        <v>1676</v>
      </c>
      <c r="B7" s="363"/>
      <c r="C7" s="364">
        <f>'数据-取费表'!B2</f>
        <v>45467</v>
      </c>
      <c r="D7" s="365">
        <v>100</v>
      </c>
      <c r="E7" s="366">
        <v>45413</v>
      </c>
      <c r="F7" s="367">
        <f>SUMIF(58:58,YEAR(E7)&amp;"-"&amp;MONTH(E7),59:59)</f>
        <v>100</v>
      </c>
      <c r="G7" s="366">
        <v>45413</v>
      </c>
      <c r="H7" s="365">
        <f>SUMIF(58:58,YEAR(G7)&amp;"-"&amp;MONTH(G7),59:59)</f>
        <v>100</v>
      </c>
      <c r="I7" s="366">
        <v>45413</v>
      </c>
      <c r="J7" s="365">
        <f>SUMIF(58:58,YEAR(I7)&amp;"-"&amp;MONTH(I7),59:59)</f>
        <v>100</v>
      </c>
      <c r="K7" s="560"/>
      <c r="L7" s="2713"/>
      <c r="M7" s="2714"/>
      <c r="N7" s="2714"/>
      <c r="O7" s="2714"/>
      <c r="P7" s="3749" t="s">
        <v>1677</v>
      </c>
      <c r="Q7" s="3751"/>
      <c r="R7" s="700" t="s">
        <v>14</v>
      </c>
      <c r="S7" s="701">
        <f t="shared" ref="S7:S15" si="0">F7</f>
        <v>100</v>
      </c>
      <c r="T7" s="700" t="s">
        <v>14</v>
      </c>
      <c r="U7" s="701">
        <f t="shared" ref="U7:U15" si="1">H7</f>
        <v>100</v>
      </c>
      <c r="V7" s="700" t="s">
        <v>14</v>
      </c>
      <c r="W7" s="701">
        <f t="shared" ref="W7:W15" si="2">J7</f>
        <v>100</v>
      </c>
      <c r="X7" s="702"/>
      <c r="Y7" s="3749" t="s">
        <v>1677</v>
      </c>
      <c r="Z7" s="3750"/>
      <c r="AA7" s="703">
        <f>D7/F7</f>
        <v>1</v>
      </c>
      <c r="AB7" s="703">
        <f>D7/H7</f>
        <v>1</v>
      </c>
      <c r="AC7" s="703">
        <f>D7/J7</f>
        <v>1</v>
      </c>
    </row>
    <row r="8" spans="1:29" s="108" customFormat="1" ht="15.75" thickBot="1">
      <c r="A8" s="362" t="s">
        <v>1678</v>
      </c>
      <c r="B8" s="363"/>
      <c r="C8" s="368" t="s">
        <v>3392</v>
      </c>
      <c r="D8" s="365">
        <v>100</v>
      </c>
      <c r="E8" s="368" t="s">
        <v>3392</v>
      </c>
      <c r="F8" s="367">
        <f>SUMIF(61:61,E8,62:62)-SUMIF(61:61,C8,62:62)+100</f>
        <v>100</v>
      </c>
      <c r="G8" s="368" t="s">
        <v>3392</v>
      </c>
      <c r="H8" s="365">
        <f>SUMIF(61:61,G8,62:62)-SUMIF(61:61,C8,62:62)+100</f>
        <v>100</v>
      </c>
      <c r="I8" s="368" t="s">
        <v>3392</v>
      </c>
      <c r="J8" s="365">
        <f>SUMIF(61:61,I8,62:62)-SUMIF(61:61,C8,62:62)+100</f>
        <v>100</v>
      </c>
      <c r="K8" s="560"/>
      <c r="L8" s="2713"/>
      <c r="M8" s="2714"/>
      <c r="N8" s="2714"/>
      <c r="O8" s="2714"/>
      <c r="P8" s="3749" t="s">
        <v>1680</v>
      </c>
      <c r="Q8" s="3750"/>
      <c r="R8" s="700" t="s">
        <v>14</v>
      </c>
      <c r="S8" s="701">
        <f t="shared" si="0"/>
        <v>100</v>
      </c>
      <c r="T8" s="700" t="s">
        <v>14</v>
      </c>
      <c r="U8" s="701">
        <f t="shared" si="1"/>
        <v>100</v>
      </c>
      <c r="V8" s="700" t="s">
        <v>14</v>
      </c>
      <c r="W8" s="701">
        <f t="shared" si="2"/>
        <v>100</v>
      </c>
      <c r="X8" s="702"/>
      <c r="Y8" s="3749" t="s">
        <v>1680</v>
      </c>
      <c r="Z8" s="3750"/>
      <c r="AA8" s="703">
        <f t="shared" ref="AA8:AA46" si="3">D8/F8</f>
        <v>1</v>
      </c>
      <c r="AB8" s="703">
        <f t="shared" ref="AB8:AB46" si="4">D8/H8</f>
        <v>1</v>
      </c>
      <c r="AC8" s="703">
        <f t="shared" ref="AC8:AC46" si="5">D8/J8</f>
        <v>1</v>
      </c>
    </row>
    <row r="9" spans="1:29" s="108" customFormat="1">
      <c r="A9" s="369" t="s">
        <v>1681</v>
      </c>
      <c r="B9" s="63" t="s">
        <v>1682</v>
      </c>
      <c r="C9" s="3444" t="s">
        <v>3393</v>
      </c>
      <c r="D9" s="126">
        <v>100</v>
      </c>
      <c r="E9" s="371" t="s">
        <v>672</v>
      </c>
      <c r="F9" s="372">
        <f>SUMIF(63:63,E9,64:64)-SUMIF(63:63,C9,64:64)+100</f>
        <v>100</v>
      </c>
      <c r="G9" s="371" t="s">
        <v>672</v>
      </c>
      <c r="H9" s="126">
        <f>SUMIF(63:63,G9,64:64)-SUMIF(63:63,C9,64:64)+100</f>
        <v>100</v>
      </c>
      <c r="I9" s="371" t="s">
        <v>672</v>
      </c>
      <c r="J9" s="126">
        <f>SUMIF(63:63,I9,64:64)-SUMIF(63:63,C9,64:64)+100</f>
        <v>100</v>
      </c>
      <c r="K9" s="560"/>
      <c r="L9" s="2713"/>
      <c r="M9" s="2714"/>
      <c r="N9" s="2714"/>
      <c r="O9" s="2714"/>
      <c r="P9" s="3725" t="s">
        <v>1683</v>
      </c>
      <c r="Q9" s="1339" t="str">
        <f t="shared" ref="Q9:Q15" si="6">B9</f>
        <v>用途</v>
      </c>
      <c r="R9" s="700" t="s">
        <v>14</v>
      </c>
      <c r="S9" s="701">
        <f t="shared" si="0"/>
        <v>100</v>
      </c>
      <c r="T9" s="700" t="s">
        <v>14</v>
      </c>
      <c r="U9" s="701">
        <f t="shared" si="1"/>
        <v>100</v>
      </c>
      <c r="V9" s="700" t="s">
        <v>14</v>
      </c>
      <c r="W9" s="701">
        <f t="shared" si="2"/>
        <v>100</v>
      </c>
      <c r="X9" s="702"/>
      <c r="Y9" s="360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5"/>
      <c r="M10" s="2716"/>
      <c r="N10" s="2716"/>
      <c r="O10" s="2716"/>
      <c r="P10" s="3725"/>
      <c r="Q10" s="1339" t="str">
        <f t="shared" si="6"/>
        <v>土地使用年限（年）</v>
      </c>
      <c r="R10" s="700" t="s">
        <v>14</v>
      </c>
      <c r="S10" s="701">
        <f t="shared" si="0"/>
        <v>100</v>
      </c>
      <c r="T10" s="700" t="s">
        <v>14</v>
      </c>
      <c r="U10" s="701">
        <f t="shared" si="1"/>
        <v>100</v>
      </c>
      <c r="V10" s="700" t="s">
        <v>14</v>
      </c>
      <c r="W10" s="701">
        <f t="shared" si="2"/>
        <v>100</v>
      </c>
      <c r="X10" s="702"/>
      <c r="Y10" s="3607"/>
      <c r="Z10" s="52" t="str">
        <f t="shared" si="7"/>
        <v>土地使用年限（年）</v>
      </c>
      <c r="AA10" s="703">
        <f t="shared" si="3"/>
        <v>1</v>
      </c>
      <c r="AB10" s="703">
        <f t="shared" si="4"/>
        <v>1</v>
      </c>
      <c r="AC10" s="703">
        <f t="shared" si="5"/>
        <v>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5"/>
      <c r="Q11" s="1339" t="str">
        <f t="shared" si="6"/>
        <v>容积率</v>
      </c>
      <c r="R11" s="700" t="s">
        <v>14</v>
      </c>
      <c r="S11" s="701">
        <f t="shared" si="0"/>
        <v>100</v>
      </c>
      <c r="T11" s="700" t="s">
        <v>14</v>
      </c>
      <c r="U11" s="701">
        <f t="shared" si="1"/>
        <v>100</v>
      </c>
      <c r="V11" s="700" t="s">
        <v>14</v>
      </c>
      <c r="W11" s="701">
        <f t="shared" si="2"/>
        <v>100</v>
      </c>
      <c r="X11" s="702"/>
      <c r="Y11" s="3607"/>
      <c r="Z11" s="52" t="str">
        <f t="shared" si="7"/>
        <v>容积率</v>
      </c>
      <c r="AA11" s="703">
        <f t="shared" si="3"/>
        <v>1</v>
      </c>
      <c r="AB11" s="703">
        <f t="shared" si="4"/>
        <v>1</v>
      </c>
      <c r="AC11" s="703">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5"/>
      <c r="Q12" s="1339">
        <f t="shared" si="6"/>
        <v>111</v>
      </c>
      <c r="R12" s="700" t="s">
        <v>14</v>
      </c>
      <c r="S12" s="701">
        <f t="shared" si="0"/>
        <v>100</v>
      </c>
      <c r="T12" s="700" t="s">
        <v>14</v>
      </c>
      <c r="U12" s="701">
        <f t="shared" si="1"/>
        <v>100</v>
      </c>
      <c r="V12" s="700" t="s">
        <v>14</v>
      </c>
      <c r="W12" s="701">
        <f t="shared" si="2"/>
        <v>100</v>
      </c>
      <c r="X12" s="702"/>
      <c r="Y12" s="3607"/>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5"/>
      <c r="Q13" s="1339">
        <f t="shared" si="6"/>
        <v>111</v>
      </c>
      <c r="R13" s="700" t="s">
        <v>14</v>
      </c>
      <c r="S13" s="701">
        <f t="shared" si="0"/>
        <v>100</v>
      </c>
      <c r="T13" s="700" t="s">
        <v>14</v>
      </c>
      <c r="U13" s="701">
        <f t="shared" si="1"/>
        <v>100</v>
      </c>
      <c r="V13" s="700" t="s">
        <v>14</v>
      </c>
      <c r="W13" s="701">
        <f t="shared" si="2"/>
        <v>100</v>
      </c>
      <c r="X13" s="702"/>
      <c r="Y13" s="3607"/>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5"/>
      <c r="Q14" s="1339">
        <f t="shared" si="6"/>
        <v>111</v>
      </c>
      <c r="R14" s="700" t="s">
        <v>14</v>
      </c>
      <c r="S14" s="701">
        <f t="shared" si="0"/>
        <v>100</v>
      </c>
      <c r="T14" s="700" t="s">
        <v>14</v>
      </c>
      <c r="U14" s="701">
        <f t="shared" si="1"/>
        <v>100</v>
      </c>
      <c r="V14" s="700" t="s">
        <v>14</v>
      </c>
      <c r="W14" s="701">
        <f t="shared" si="2"/>
        <v>100</v>
      </c>
      <c r="X14" s="702"/>
      <c r="Y14" s="3607"/>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15" t="s">
        <v>1688</v>
      </c>
      <c r="Q15" s="1348" t="str">
        <f t="shared" si="6"/>
        <v>商业繁华度</v>
      </c>
      <c r="R15" s="704" t="s">
        <v>14</v>
      </c>
      <c r="S15" s="705">
        <f t="shared" si="0"/>
        <v>100</v>
      </c>
      <c r="T15" s="704" t="s">
        <v>14</v>
      </c>
      <c r="U15" s="705">
        <f t="shared" si="1"/>
        <v>100</v>
      </c>
      <c r="V15" s="704" t="s">
        <v>14</v>
      </c>
      <c r="W15" s="705">
        <f t="shared" si="2"/>
        <v>100</v>
      </c>
      <c r="X15" s="1351"/>
      <c r="Y15" s="3717" t="s">
        <v>1688</v>
      </c>
      <c r="Z15" s="1352" t="str">
        <f t="shared" si="7"/>
        <v>商业繁华度</v>
      </c>
      <c r="AA15" s="1349">
        <f t="shared" si="3"/>
        <v>1</v>
      </c>
      <c r="AB15" s="1349">
        <f t="shared" si="4"/>
        <v>1</v>
      </c>
      <c r="AC15" s="1349">
        <f t="shared" si="5"/>
        <v>1</v>
      </c>
    </row>
    <row r="16" spans="1:29" ht="15">
      <c r="A16" s="379"/>
      <c r="B16" s="397"/>
      <c r="C16" s="398" t="s">
        <v>3399</v>
      </c>
      <c r="D16" s="399"/>
      <c r="E16" s="398" t="s">
        <v>3399</v>
      </c>
      <c r="F16" s="400"/>
      <c r="G16" s="398" t="s">
        <v>3399</v>
      </c>
      <c r="H16" s="401"/>
      <c r="I16" s="398" t="s">
        <v>3399</v>
      </c>
      <c r="J16" s="399"/>
      <c r="K16" s="564"/>
      <c r="L16" s="2718"/>
      <c r="M16" s="2712"/>
      <c r="N16" s="2712"/>
      <c r="O16" s="2712"/>
      <c r="P16" s="3716"/>
      <c r="Q16" s="1348"/>
      <c r="R16" s="704"/>
      <c r="S16" s="705"/>
      <c r="T16" s="704"/>
      <c r="U16" s="705"/>
      <c r="V16" s="704"/>
      <c r="W16" s="705"/>
      <c r="X16" s="1351"/>
      <c r="Y16" s="3718"/>
      <c r="Z16" s="1352"/>
      <c r="AA16" s="1349">
        <v>1</v>
      </c>
      <c r="AB16" s="1349">
        <v>1</v>
      </c>
      <c r="AC16" s="1349">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16"/>
      <c r="Q17" s="1348" t="str">
        <f>B17</f>
        <v>交通便捷度</v>
      </c>
      <c r="R17" s="704" t="s">
        <v>14</v>
      </c>
      <c r="S17" s="705">
        <f>F17</f>
        <v>100</v>
      </c>
      <c r="T17" s="704" t="s">
        <v>14</v>
      </c>
      <c r="U17" s="705">
        <f>H17</f>
        <v>100</v>
      </c>
      <c r="V17" s="704" t="s">
        <v>14</v>
      </c>
      <c r="W17" s="705">
        <f>J17</f>
        <v>100</v>
      </c>
      <c r="X17" s="1351"/>
      <c r="Y17" s="3718"/>
      <c r="Z17" s="1352" t="str">
        <f>Q17</f>
        <v>交通便捷度</v>
      </c>
      <c r="AA17" s="1349">
        <f t="shared" si="3"/>
        <v>1</v>
      </c>
      <c r="AB17" s="1349">
        <f t="shared" si="4"/>
        <v>1</v>
      </c>
      <c r="AC17" s="1349">
        <f t="shared" si="5"/>
        <v>1</v>
      </c>
    </row>
    <row r="18" spans="1:29" ht="15">
      <c r="A18" s="379"/>
      <c r="B18" s="407"/>
      <c r="C18" s="398" t="s">
        <v>3399</v>
      </c>
      <c r="D18" s="401"/>
      <c r="E18" s="398" t="s">
        <v>3399</v>
      </c>
      <c r="F18" s="404"/>
      <c r="G18" s="398" t="s">
        <v>3399</v>
      </c>
      <c r="H18" s="399"/>
      <c r="I18" s="398" t="s">
        <v>3399</v>
      </c>
      <c r="J18" s="399"/>
      <c r="K18" s="564"/>
      <c r="L18" s="2718"/>
      <c r="M18" s="2712"/>
      <c r="N18" s="2712"/>
      <c r="O18" s="2712"/>
      <c r="P18" s="3716"/>
      <c r="Q18" s="1348"/>
      <c r="R18" s="704"/>
      <c r="S18" s="705"/>
      <c r="T18" s="704"/>
      <c r="U18" s="705"/>
      <c r="V18" s="704"/>
      <c r="W18" s="705"/>
      <c r="X18" s="1351"/>
      <c r="Y18" s="3718"/>
      <c r="Z18" s="1352"/>
      <c r="AA18" s="1349">
        <v>1</v>
      </c>
      <c r="AB18" s="1349">
        <v>1</v>
      </c>
      <c r="AC18" s="1349">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16"/>
      <c r="Q19" s="1348" t="str">
        <f>B19</f>
        <v>公共配套设施</v>
      </c>
      <c r="R19" s="704" t="s">
        <v>14</v>
      </c>
      <c r="S19" s="705">
        <f>F19</f>
        <v>100</v>
      </c>
      <c r="T19" s="704" t="s">
        <v>14</v>
      </c>
      <c r="U19" s="705">
        <f>H19</f>
        <v>100</v>
      </c>
      <c r="V19" s="704" t="s">
        <v>14</v>
      </c>
      <c r="W19" s="705">
        <f>J19</f>
        <v>100</v>
      </c>
      <c r="X19" s="1351"/>
      <c r="Y19" s="3718"/>
      <c r="Z19" s="1352" t="str">
        <f>Q19</f>
        <v>公共配套设施</v>
      </c>
      <c r="AA19" s="1349">
        <f t="shared" si="3"/>
        <v>1</v>
      </c>
      <c r="AB19" s="1349">
        <f t="shared" si="4"/>
        <v>1</v>
      </c>
      <c r="AC19" s="1349">
        <f t="shared" si="5"/>
        <v>1</v>
      </c>
    </row>
    <row r="20" spans="1:29" ht="15">
      <c r="A20" s="379"/>
      <c r="B20" s="407"/>
      <c r="C20" s="398" t="s">
        <v>3399</v>
      </c>
      <c r="D20" s="399"/>
      <c r="E20" s="398" t="s">
        <v>3399</v>
      </c>
      <c r="F20" s="400"/>
      <c r="G20" s="398" t="s">
        <v>3399</v>
      </c>
      <c r="H20" s="399"/>
      <c r="I20" s="398" t="s">
        <v>3399</v>
      </c>
      <c r="J20" s="399"/>
      <c r="K20" s="564"/>
      <c r="L20" s="2718"/>
      <c r="M20" s="2712"/>
      <c r="N20" s="2712"/>
      <c r="O20" s="2712"/>
      <c r="P20" s="3716"/>
      <c r="Q20" s="1348"/>
      <c r="R20" s="704"/>
      <c r="S20" s="705"/>
      <c r="T20" s="704"/>
      <c r="U20" s="705"/>
      <c r="V20" s="704"/>
      <c r="W20" s="705"/>
      <c r="X20" s="1351"/>
      <c r="Y20" s="3718"/>
      <c r="Z20" s="1352"/>
      <c r="AA20" s="1349">
        <v>1</v>
      </c>
      <c r="AB20" s="1349">
        <v>1</v>
      </c>
      <c r="AC20" s="1349">
        <v>1</v>
      </c>
    </row>
    <row r="21" spans="1:29" ht="28.5">
      <c r="A21" s="379"/>
      <c r="B21" s="1127"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16"/>
      <c r="Q21" s="1348" t="str">
        <f>B21</f>
        <v>基础设施水平</v>
      </c>
      <c r="R21" s="704" t="s">
        <v>14</v>
      </c>
      <c r="S21" s="705">
        <f>F21</f>
        <v>100</v>
      </c>
      <c r="T21" s="704" t="s">
        <v>14</v>
      </c>
      <c r="U21" s="705">
        <f>H21</f>
        <v>100</v>
      </c>
      <c r="V21" s="704" t="s">
        <v>14</v>
      </c>
      <c r="W21" s="705">
        <f>J21</f>
        <v>100</v>
      </c>
      <c r="X21" s="1351"/>
      <c r="Y21" s="3718"/>
      <c r="Z21" s="1352" t="str">
        <f>Q21</f>
        <v>基础设施水平</v>
      </c>
      <c r="AA21" s="1349">
        <f t="shared" ref="AA21" si="8">D21/F21</f>
        <v>1</v>
      </c>
      <c r="AB21" s="1349">
        <f t="shared" ref="AB21" si="9">D21/H21</f>
        <v>1</v>
      </c>
      <c r="AC21" s="1349">
        <f t="shared" ref="AC21" si="10">D21/J21</f>
        <v>1</v>
      </c>
    </row>
    <row r="22" spans="1:29" ht="15">
      <c r="A22" s="379"/>
      <c r="B22" s="1127"/>
      <c r="C22" s="1897" t="s">
        <v>3407</v>
      </c>
      <c r="D22" s="399"/>
      <c r="E22" s="1897" t="s">
        <v>3407</v>
      </c>
      <c r="F22" s="400"/>
      <c r="G22" s="1897" t="s">
        <v>3407</v>
      </c>
      <c r="H22" s="399"/>
      <c r="I22" s="1897" t="s">
        <v>3407</v>
      </c>
      <c r="J22" s="399"/>
      <c r="K22" s="1126"/>
      <c r="L22" s="2718"/>
      <c r="M22" s="2712"/>
      <c r="N22" s="2712"/>
      <c r="O22" s="2712"/>
      <c r="P22" s="3716"/>
      <c r="Q22" s="1348"/>
      <c r="R22" s="704"/>
      <c r="S22" s="705"/>
      <c r="T22" s="704"/>
      <c r="U22" s="705"/>
      <c r="V22" s="704"/>
      <c r="W22" s="705"/>
      <c r="X22" s="1351"/>
      <c r="Y22" s="3718"/>
      <c r="Z22" s="1352"/>
      <c r="AA22" s="1349">
        <v>1</v>
      </c>
      <c r="AB22" s="1349">
        <v>1</v>
      </c>
      <c r="AC22" s="1349">
        <v>1</v>
      </c>
    </row>
    <row r="23" spans="1:29" ht="57">
      <c r="A23" s="379"/>
      <c r="B23" s="402" t="s">
        <v>1258</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16"/>
      <c r="Q23" s="1348" t="str">
        <f>B23</f>
        <v>自然及人文环境</v>
      </c>
      <c r="R23" s="704" t="s">
        <v>14</v>
      </c>
      <c r="S23" s="705">
        <f>F23</f>
        <v>100</v>
      </c>
      <c r="T23" s="704" t="s">
        <v>14</v>
      </c>
      <c r="U23" s="705">
        <f>H23</f>
        <v>100</v>
      </c>
      <c r="V23" s="704" t="s">
        <v>14</v>
      </c>
      <c r="W23" s="705">
        <f>J23</f>
        <v>100</v>
      </c>
      <c r="X23" s="1351"/>
      <c r="Y23" s="3718"/>
      <c r="Z23" s="1352" t="str">
        <f>Q23</f>
        <v>自然及人文环境</v>
      </c>
      <c r="AA23" s="1349">
        <f t="shared" si="3"/>
        <v>1</v>
      </c>
      <c r="AB23" s="1349">
        <f t="shared" si="4"/>
        <v>1</v>
      </c>
      <c r="AC23" s="1349">
        <f t="shared" si="5"/>
        <v>1</v>
      </c>
    </row>
    <row r="24" spans="1:29" ht="15">
      <c r="A24" s="379"/>
      <c r="B24" s="407"/>
      <c r="C24" s="398" t="s">
        <v>3399</v>
      </c>
      <c r="D24" s="399"/>
      <c r="E24" s="398" t="s">
        <v>3399</v>
      </c>
      <c r="F24" s="400"/>
      <c r="G24" s="398" t="s">
        <v>3399</v>
      </c>
      <c r="H24" s="399"/>
      <c r="I24" s="398" t="s">
        <v>3399</v>
      </c>
      <c r="J24" s="399"/>
      <c r="K24" s="564"/>
      <c r="L24" s="2718"/>
      <c r="M24" s="2712"/>
      <c r="N24" s="2712"/>
      <c r="O24" s="2712"/>
      <c r="P24" s="3716"/>
      <c r="Q24" s="1348"/>
      <c r="R24" s="704"/>
      <c r="S24" s="705"/>
      <c r="T24" s="704"/>
      <c r="U24" s="705"/>
      <c r="V24" s="704"/>
      <c r="W24" s="705"/>
      <c r="X24" s="1351"/>
      <c r="Y24" s="3718"/>
      <c r="Z24" s="1352"/>
      <c r="AA24" s="1349">
        <v>1</v>
      </c>
      <c r="AB24" s="1349">
        <v>1</v>
      </c>
      <c r="AC24" s="1349">
        <v>1</v>
      </c>
    </row>
    <row r="25" spans="1:29" ht="15">
      <c r="A25" s="379"/>
      <c r="B25" s="375" t="s">
        <v>1777</v>
      </c>
      <c r="C25" s="565" t="s">
        <v>3395</v>
      </c>
      <c r="D25" s="386">
        <v>100</v>
      </c>
      <c r="E25" s="565" t="s">
        <v>3395</v>
      </c>
      <c r="F25" s="412">
        <f>SUMIF(86:86,E25,87:87)-SUMIF(86:86,C25,87:87)+100</f>
        <v>100</v>
      </c>
      <c r="G25" s="565" t="s">
        <v>3395</v>
      </c>
      <c r="H25" s="386">
        <f>SUMIF(86:86,G25,87:87)-SUMIF(86:86,C25,87:87)+100</f>
        <v>100</v>
      </c>
      <c r="I25" s="565" t="s">
        <v>3395</v>
      </c>
      <c r="J25" s="386">
        <f>SUMIF(86:86,I25,87:87)-SUMIF(86:86,C25,87:87)+100</f>
        <v>100</v>
      </c>
      <c r="K25" s="3448">
        <v>0</v>
      </c>
      <c r="L25" s="2718"/>
      <c r="M25" s="2712"/>
      <c r="N25" s="2712"/>
      <c r="O25" s="2712"/>
      <c r="P25" s="3716"/>
      <c r="Q25" s="1348" t="str">
        <f t="shared" ref="Q25:Q46" si="11">B25</f>
        <v>临街状况</v>
      </c>
      <c r="R25" s="704" t="s">
        <v>14</v>
      </c>
      <c r="S25" s="705">
        <f>F25</f>
        <v>100</v>
      </c>
      <c r="T25" s="704" t="s">
        <v>14</v>
      </c>
      <c r="U25" s="705">
        <f>H25</f>
        <v>100</v>
      </c>
      <c r="V25" s="704" t="s">
        <v>14</v>
      </c>
      <c r="W25" s="705">
        <f>J25</f>
        <v>100</v>
      </c>
      <c r="X25" s="1351"/>
      <c r="Y25" s="3718"/>
      <c r="Z25" s="1352" t="str">
        <f>Q25</f>
        <v>临街状况</v>
      </c>
      <c r="AA25" s="1349">
        <f t="shared" si="3"/>
        <v>1</v>
      </c>
      <c r="AB25" s="1349">
        <f t="shared" si="4"/>
        <v>1</v>
      </c>
      <c r="AC25" s="1349">
        <f t="shared" si="5"/>
        <v>1</v>
      </c>
    </row>
    <row r="26" spans="1:29" ht="15">
      <c r="A26" s="379"/>
      <c r="B26" s="1129" t="s">
        <v>1778</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16"/>
      <c r="Q26" s="1348" t="str">
        <f t="shared" si="11"/>
        <v>平面位置/可视性</v>
      </c>
      <c r="R26" s="704" t="s">
        <v>14</v>
      </c>
      <c r="S26" s="705">
        <f>F26</f>
        <v>100</v>
      </c>
      <c r="T26" s="704" t="s">
        <v>14</v>
      </c>
      <c r="U26" s="705">
        <f>H26</f>
        <v>100</v>
      </c>
      <c r="V26" s="704" t="s">
        <v>14</v>
      </c>
      <c r="W26" s="705">
        <f>J26</f>
        <v>100</v>
      </c>
      <c r="X26" s="1351"/>
      <c r="Y26" s="3718"/>
      <c r="Z26" s="1352" t="str">
        <f>Q26</f>
        <v>平面位置/可视性</v>
      </c>
      <c r="AA26" s="1349">
        <f t="shared" si="3"/>
        <v>1</v>
      </c>
      <c r="AB26" s="1349">
        <f t="shared" si="4"/>
        <v>1</v>
      </c>
      <c r="AC26" s="1349">
        <f t="shared" si="5"/>
        <v>1</v>
      </c>
    </row>
    <row r="27" spans="1:29" s="108" customFormat="1" ht="15">
      <c r="A27" s="382"/>
      <c r="B27" s="402" t="s">
        <v>1779</v>
      </c>
      <c r="C27" s="1952" t="s">
        <v>3399</v>
      </c>
      <c r="D27" s="413">
        <v>100</v>
      </c>
      <c r="E27" s="1952" t="s">
        <v>3399</v>
      </c>
      <c r="F27" s="415">
        <f>SUMIF(90:90,E27,91:91)-SUMIF(90:90,C27,91:91)+100</f>
        <v>100</v>
      </c>
      <c r="G27" s="1952" t="s">
        <v>3399</v>
      </c>
      <c r="H27" s="413">
        <f>SUMIF(90:90,G27,91:91)-SUMIF(90:90,C27,91:91)+100</f>
        <v>100</v>
      </c>
      <c r="I27" s="1952" t="s">
        <v>3399</v>
      </c>
      <c r="J27" s="413">
        <f>SUMIF(90:90,I27,91:91)-SUMIF(90:90,C27,91:91)+100</f>
        <v>100</v>
      </c>
      <c r="K27" s="3448">
        <v>0</v>
      </c>
      <c r="L27" s="2713"/>
      <c r="M27" s="2714"/>
      <c r="N27" s="2714"/>
      <c r="O27" s="2714"/>
      <c r="P27" s="3716"/>
      <c r="Q27" s="1339" t="str">
        <f t="shared" si="11"/>
        <v>人流量</v>
      </c>
      <c r="R27" s="700" t="s">
        <v>14</v>
      </c>
      <c r="S27" s="701">
        <f>F27</f>
        <v>100</v>
      </c>
      <c r="T27" s="700" t="s">
        <v>14</v>
      </c>
      <c r="U27" s="701">
        <f>H27</f>
        <v>100</v>
      </c>
      <c r="V27" s="700" t="s">
        <v>14</v>
      </c>
      <c r="W27" s="701">
        <f>J27</f>
        <v>100</v>
      </c>
      <c r="X27" s="702"/>
      <c r="Y27" s="3718"/>
      <c r="Z27" s="52" t="str">
        <f>Q27</f>
        <v>人流量</v>
      </c>
      <c r="AA27" s="1349">
        <f>D27/F27</f>
        <v>1</v>
      </c>
      <c r="AB27" s="1349">
        <f>D27/H27</f>
        <v>1</v>
      </c>
      <c r="AC27" s="1349">
        <f>D27/J27</f>
        <v>1</v>
      </c>
    </row>
    <row r="28" spans="1:29" ht="15">
      <c r="A28" s="379"/>
      <c r="B28" s="375" t="s">
        <v>1780</v>
      </c>
      <c r="C28" s="565" t="s">
        <v>3427</v>
      </c>
      <c r="D28" s="386">
        <v>100</v>
      </c>
      <c r="E28" s="565" t="s">
        <v>3427</v>
      </c>
      <c r="F28" s="412">
        <f>SUMIF(92:92,E28,93:93)-SUMIF(92:92,C28,93:93)+100</f>
        <v>100</v>
      </c>
      <c r="G28" s="565" t="s">
        <v>3427</v>
      </c>
      <c r="H28" s="386">
        <f>SUMIF(92:92,G28,93:93)-SUMIF(92:92,C28,93:93)+100</f>
        <v>100</v>
      </c>
      <c r="I28" s="565" t="s">
        <v>3427</v>
      </c>
      <c r="J28" s="386">
        <f>SUMIF(92:92,I28,93:93)-SUMIF(92:92,C28,93:93)+100</f>
        <v>100</v>
      </c>
      <c r="K28" s="562"/>
      <c r="L28" s="2718"/>
      <c r="M28" s="2712"/>
      <c r="N28" s="2712"/>
      <c r="O28" s="2712"/>
      <c r="P28" s="3716"/>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718"/>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6"/>
      <c r="Q29" s="1348">
        <f t="shared" si="11"/>
        <v>111</v>
      </c>
      <c r="R29" s="704" t="s">
        <v>14</v>
      </c>
      <c r="S29" s="705">
        <f t="shared" si="12"/>
        <v>100</v>
      </c>
      <c r="T29" s="704" t="s">
        <v>14</v>
      </c>
      <c r="U29" s="705">
        <f t="shared" si="13"/>
        <v>100</v>
      </c>
      <c r="V29" s="704" t="s">
        <v>14</v>
      </c>
      <c r="W29" s="705">
        <f t="shared" si="14"/>
        <v>100</v>
      </c>
      <c r="X29" s="1351"/>
      <c r="Y29" s="3718"/>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6"/>
      <c r="Q30" s="1348">
        <f t="shared" si="11"/>
        <v>111</v>
      </c>
      <c r="R30" s="704" t="s">
        <v>14</v>
      </c>
      <c r="S30" s="705">
        <f t="shared" si="12"/>
        <v>100</v>
      </c>
      <c r="T30" s="704" t="s">
        <v>14</v>
      </c>
      <c r="U30" s="705">
        <f t="shared" si="13"/>
        <v>100</v>
      </c>
      <c r="V30" s="704" t="s">
        <v>14</v>
      </c>
      <c r="W30" s="705">
        <f t="shared" si="14"/>
        <v>100</v>
      </c>
      <c r="X30" s="1351"/>
      <c r="Y30" s="3718"/>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6"/>
      <c r="Q31" s="1348">
        <f t="shared" si="11"/>
        <v>111</v>
      </c>
      <c r="R31" s="704" t="s">
        <v>14</v>
      </c>
      <c r="S31" s="705">
        <f t="shared" si="12"/>
        <v>100</v>
      </c>
      <c r="T31" s="704" t="s">
        <v>14</v>
      </c>
      <c r="U31" s="705">
        <f t="shared" si="13"/>
        <v>100</v>
      </c>
      <c r="V31" s="704" t="s">
        <v>14</v>
      </c>
      <c r="W31" s="705">
        <f t="shared" si="14"/>
        <v>100</v>
      </c>
      <c r="X31" s="1351"/>
      <c r="Y31" s="3718"/>
      <c r="Z31" s="1352">
        <f t="shared" si="15"/>
        <v>111</v>
      </c>
      <c r="AA31" s="1349">
        <f t="shared" si="3"/>
        <v>1</v>
      </c>
      <c r="AB31" s="1349">
        <f t="shared" si="4"/>
        <v>1</v>
      </c>
      <c r="AC31" s="1349">
        <f t="shared" si="5"/>
        <v>1</v>
      </c>
    </row>
    <row r="32" spans="1:29" ht="15">
      <c r="A32" s="391" t="s">
        <v>1691</v>
      </c>
      <c r="B32" s="63" t="s">
        <v>1781</v>
      </c>
      <c r="C32" s="1906" t="s">
        <v>3430</v>
      </c>
      <c r="D32" s="418">
        <v>100</v>
      </c>
      <c r="E32" s="1906" t="s">
        <v>3430</v>
      </c>
      <c r="F32" s="412">
        <f>SUMIF(100:100,E32,101:101)-SUMIF(100:100,C32,101:101)+100</f>
        <v>100</v>
      </c>
      <c r="G32" s="1906" t="s">
        <v>3455</v>
      </c>
      <c r="H32" s="386">
        <f>SUMIF(100:100,G32,101:101)-SUMIF(100:100,C32,101:101)+100</f>
        <v>100</v>
      </c>
      <c r="I32" s="1906" t="s">
        <v>3455</v>
      </c>
      <c r="J32" s="418">
        <f>SUMIF(100:100,I32,101:101)-SUMIF(100:100,C32,101:101)+100</f>
        <v>100</v>
      </c>
      <c r="K32" s="561">
        <v>0</v>
      </c>
      <c r="L32" s="2718"/>
      <c r="M32" s="2712"/>
      <c r="N32" s="2712"/>
      <c r="O32" s="2712"/>
      <c r="P32" s="3719" t="s">
        <v>1693</v>
      </c>
      <c r="Q32" s="1348" t="str">
        <f t="shared" si="11"/>
        <v>商业类型</v>
      </c>
      <c r="R32" s="704" t="s">
        <v>14</v>
      </c>
      <c r="S32" s="705">
        <f t="shared" si="12"/>
        <v>100</v>
      </c>
      <c r="T32" s="704" t="s">
        <v>14</v>
      </c>
      <c r="U32" s="705">
        <f t="shared" si="13"/>
        <v>100</v>
      </c>
      <c r="V32" s="704" t="s">
        <v>14</v>
      </c>
      <c r="W32" s="705">
        <f t="shared" si="14"/>
        <v>100</v>
      </c>
      <c r="X32" s="1351"/>
      <c r="Y32" s="3722" t="s">
        <v>1693</v>
      </c>
      <c r="Z32" s="1352" t="str">
        <f t="shared" si="15"/>
        <v>商业类型</v>
      </c>
      <c r="AA32" s="1349">
        <f t="shared" si="3"/>
        <v>1</v>
      </c>
      <c r="AB32" s="1349">
        <f t="shared" si="4"/>
        <v>1</v>
      </c>
      <c r="AC32" s="1349">
        <f t="shared" si="5"/>
        <v>1</v>
      </c>
    </row>
    <row r="33" spans="1:29" s="422" customFormat="1" ht="15">
      <c r="A33" s="419"/>
      <c r="B33" s="375" t="s">
        <v>1694</v>
      </c>
      <c r="C33" s="420">
        <f>'数据-汇总表'!E19</f>
        <v>20228.239999999998</v>
      </c>
      <c r="D33" s="127">
        <v>100</v>
      </c>
      <c r="E33" s="420">
        <v>135.72999999999999</v>
      </c>
      <c r="F33" s="376">
        <f>LOOKUP(E33,103:103,104:104)-LOOKUP(C33,103:103,104:104)+100</f>
        <v>103</v>
      </c>
      <c r="G33" s="420">
        <v>127.05</v>
      </c>
      <c r="H33" s="127">
        <f>LOOKUP(G33,103:103,104:104)-LOOKUP(C33,103:103,104:104)+100</f>
        <v>103</v>
      </c>
      <c r="I33" s="420">
        <v>50</v>
      </c>
      <c r="J33" s="127">
        <f>LOOKUP(I33,103:103,104:104)-LOOKUP(C33,103:103,104:104)+100</f>
        <v>104</v>
      </c>
      <c r="K33" s="562"/>
      <c r="L33" s="2717"/>
      <c r="M33" s="2719"/>
      <c r="N33" s="2719"/>
      <c r="O33" s="2719"/>
      <c r="P33" s="3720"/>
      <c r="Q33" s="706" t="str">
        <f t="shared" si="11"/>
        <v>项目建筑规模</v>
      </c>
      <c r="R33" s="707" t="s">
        <v>14</v>
      </c>
      <c r="S33" s="708">
        <f t="shared" si="12"/>
        <v>103</v>
      </c>
      <c r="T33" s="707" t="s">
        <v>14</v>
      </c>
      <c r="U33" s="708">
        <f t="shared" si="13"/>
        <v>103</v>
      </c>
      <c r="V33" s="707" t="s">
        <v>14</v>
      </c>
      <c r="W33" s="708">
        <f t="shared" si="14"/>
        <v>104</v>
      </c>
      <c r="X33" s="709"/>
      <c r="Y33" s="3722"/>
      <c r="Z33" s="710" t="str">
        <f t="shared" si="15"/>
        <v>项目建筑规模</v>
      </c>
      <c r="AA33" s="1349">
        <f t="shared" si="3"/>
        <v>0.970873786407767</v>
      </c>
      <c r="AB33" s="1349">
        <f t="shared" si="4"/>
        <v>0.970873786407767</v>
      </c>
      <c r="AC33" s="1349">
        <f t="shared" si="5"/>
        <v>0.96153846153846156</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561">
        <v>0</v>
      </c>
      <c r="L34" s="2718"/>
      <c r="M34" s="2712"/>
      <c r="N34" s="2712"/>
      <c r="O34" s="2712"/>
      <c r="P34" s="3720"/>
      <c r="Q34" s="1348" t="str">
        <f t="shared" si="11"/>
        <v>建筑结构</v>
      </c>
      <c r="R34" s="704" t="s">
        <v>14</v>
      </c>
      <c r="S34" s="705">
        <f t="shared" si="12"/>
        <v>100</v>
      </c>
      <c r="T34" s="704" t="s">
        <v>14</v>
      </c>
      <c r="U34" s="705">
        <f t="shared" si="13"/>
        <v>100</v>
      </c>
      <c r="V34" s="704" t="s">
        <v>14</v>
      </c>
      <c r="W34" s="705">
        <f t="shared" si="14"/>
        <v>100</v>
      </c>
      <c r="X34" s="1351"/>
      <c r="Y34" s="3722"/>
      <c r="Z34" s="1352" t="str">
        <f t="shared" si="15"/>
        <v>建筑结构</v>
      </c>
      <c r="AA34" s="1349">
        <f t="shared" si="3"/>
        <v>1</v>
      </c>
      <c r="AB34" s="1349">
        <f t="shared" si="4"/>
        <v>1</v>
      </c>
      <c r="AC34" s="1349">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20"/>
      <c r="Q35" s="1348" t="str">
        <f t="shared" si="11"/>
        <v>公共部分装修</v>
      </c>
      <c r="R35" s="704" t="s">
        <v>14</v>
      </c>
      <c r="S35" s="705">
        <f t="shared" si="12"/>
        <v>100</v>
      </c>
      <c r="T35" s="704" t="s">
        <v>14</v>
      </c>
      <c r="U35" s="705">
        <f t="shared" si="13"/>
        <v>100</v>
      </c>
      <c r="V35" s="704" t="s">
        <v>14</v>
      </c>
      <c r="W35" s="705">
        <f t="shared" si="14"/>
        <v>100</v>
      </c>
      <c r="X35" s="1351"/>
      <c r="Y35" s="3722"/>
      <c r="Z35" s="1352" t="str">
        <f t="shared" si="15"/>
        <v>公共部分装修</v>
      </c>
      <c r="AA35" s="1349">
        <f t="shared" si="3"/>
        <v>1</v>
      </c>
      <c r="AB35" s="1349">
        <f t="shared" si="4"/>
        <v>1</v>
      </c>
      <c r="AC35" s="1349">
        <f t="shared" si="5"/>
        <v>1</v>
      </c>
    </row>
    <row r="36" spans="1:29" ht="15">
      <c r="A36" s="423"/>
      <c r="B36" s="375" t="s">
        <v>1783</v>
      </c>
      <c r="C36" s="425">
        <f>'数据-取费表'!N6</f>
        <v>0.69</v>
      </c>
      <c r="D36" s="386">
        <v>100</v>
      </c>
      <c r="E36" s="425">
        <f>C36</f>
        <v>0.69</v>
      </c>
      <c r="F36" s="412">
        <f>LOOKUP(E36,110:110,111:111)-LOOKUP(C36,110:110,111:111)+100</f>
        <v>100</v>
      </c>
      <c r="G36" s="425">
        <f>E36</f>
        <v>0.69</v>
      </c>
      <c r="H36" s="412">
        <f>LOOKUP(G36,110:110,111:111)-LOOKUP(C36,110:110,111:111)+100</f>
        <v>100</v>
      </c>
      <c r="I36" s="425">
        <f>G36</f>
        <v>0.69</v>
      </c>
      <c r="J36" s="386">
        <f>LOOKUP(I36,110:110,111:111)-LOOKUP(C36,110:110,111:111)+100</f>
        <v>100</v>
      </c>
      <c r="K36" s="561">
        <v>1</v>
      </c>
      <c r="L36" s="2718"/>
      <c r="M36" s="2712"/>
      <c r="N36" s="2712"/>
      <c r="O36" s="2712"/>
      <c r="P36" s="3720"/>
      <c r="Q36" s="1348" t="str">
        <f t="shared" si="11"/>
        <v>成新度</v>
      </c>
      <c r="R36" s="704" t="s">
        <v>14</v>
      </c>
      <c r="S36" s="705">
        <f t="shared" si="12"/>
        <v>100</v>
      </c>
      <c r="T36" s="704" t="s">
        <v>14</v>
      </c>
      <c r="U36" s="705">
        <f t="shared" si="13"/>
        <v>100</v>
      </c>
      <c r="V36" s="704" t="s">
        <v>14</v>
      </c>
      <c r="W36" s="705">
        <f t="shared" si="14"/>
        <v>100</v>
      </c>
      <c r="X36" s="1351"/>
      <c r="Y36" s="3722"/>
      <c r="Z36" s="1352" t="str">
        <f t="shared" si="15"/>
        <v>成新度</v>
      </c>
      <c r="AA36" s="1349">
        <f t="shared" si="3"/>
        <v>1</v>
      </c>
      <c r="AB36" s="1349">
        <f t="shared" si="4"/>
        <v>1</v>
      </c>
      <c r="AC36" s="1349">
        <f t="shared" si="5"/>
        <v>1</v>
      </c>
    </row>
    <row r="37" spans="1:29" s="108" customFormat="1" ht="15">
      <c r="A37" s="424"/>
      <c r="B37" s="375" t="s">
        <v>1784</v>
      </c>
      <c r="C37" s="1902" t="s">
        <v>3408</v>
      </c>
      <c r="D37" s="127">
        <v>100</v>
      </c>
      <c r="E37" s="1902" t="s">
        <v>3407</v>
      </c>
      <c r="F37" s="412">
        <f>SUMIF(112:112,E37,113:113)-SUMIF(112:112,C37,113:113)+100</f>
        <v>100</v>
      </c>
      <c r="G37" s="1902" t="s">
        <v>3408</v>
      </c>
      <c r="H37" s="386">
        <f>SUMIF(112:112,G37,113:113)-SUMIF(112:112,C37,113:113)+100</f>
        <v>100</v>
      </c>
      <c r="I37" s="1902" t="s">
        <v>3407</v>
      </c>
      <c r="J37" s="386">
        <f>SUMIF(112:112,I37,113:113)-SUMIF(112:112,C37,113:113)+100</f>
        <v>100</v>
      </c>
      <c r="K37" s="561">
        <v>0</v>
      </c>
      <c r="L37" s="2713"/>
      <c r="M37" s="2714"/>
      <c r="N37" s="2714"/>
      <c r="O37" s="2714"/>
      <c r="P37" s="3720"/>
      <c r="Q37" s="1339" t="str">
        <f t="shared" si="11"/>
        <v>市政基础设施</v>
      </c>
      <c r="R37" s="700" t="s">
        <v>14</v>
      </c>
      <c r="S37" s="701">
        <f t="shared" si="12"/>
        <v>100</v>
      </c>
      <c r="T37" s="700" t="s">
        <v>14</v>
      </c>
      <c r="U37" s="701">
        <f t="shared" si="13"/>
        <v>100</v>
      </c>
      <c r="V37" s="700" t="s">
        <v>14</v>
      </c>
      <c r="W37" s="701">
        <f t="shared" si="14"/>
        <v>100</v>
      </c>
      <c r="X37" s="702"/>
      <c r="Y37" s="3722"/>
      <c r="Z37" s="52" t="str">
        <f t="shared" si="15"/>
        <v>市政基础设施</v>
      </c>
      <c r="AA37" s="703">
        <f t="shared" si="3"/>
        <v>1</v>
      </c>
      <c r="AB37" s="703">
        <f t="shared" si="4"/>
        <v>1</v>
      </c>
      <c r="AC37" s="703">
        <f t="shared" si="5"/>
        <v>1</v>
      </c>
    </row>
    <row r="38" spans="1:29" ht="15">
      <c r="A38" s="423"/>
      <c r="B38" s="375" t="s">
        <v>1785</v>
      </c>
      <c r="C38" s="1902" t="s">
        <v>3414</v>
      </c>
      <c r="D38" s="386">
        <v>100</v>
      </c>
      <c r="E38" s="1902" t="s">
        <v>3412</v>
      </c>
      <c r="F38" s="412">
        <f>SUMIF(114:114,E38,115:115)-SUMIF(114:114,C38,115:115)+100</f>
        <v>105</v>
      </c>
      <c r="G38" s="1902" t="s">
        <v>3414</v>
      </c>
      <c r="H38" s="386">
        <f>SUMIF(114:114,G38,115:115)-SUMIF(114:114,C38,115:115)+100</f>
        <v>100</v>
      </c>
      <c r="I38" s="1902" t="s">
        <v>3412</v>
      </c>
      <c r="J38" s="386">
        <f>SUMIF(114:114,I38,115:115)-SUMIF(114:114,C38,115:115)+100</f>
        <v>105</v>
      </c>
      <c r="K38" s="561">
        <v>5</v>
      </c>
      <c r="L38" s="2718"/>
      <c r="M38" s="2712"/>
      <c r="N38" s="2712"/>
      <c r="O38" s="2712"/>
      <c r="P38" s="3720" t="s">
        <v>1693</v>
      </c>
      <c r="Q38" s="1348" t="str">
        <f t="shared" si="11"/>
        <v>业态</v>
      </c>
      <c r="R38" s="704" t="s">
        <v>14</v>
      </c>
      <c r="S38" s="705">
        <f t="shared" si="12"/>
        <v>105</v>
      </c>
      <c r="T38" s="704" t="s">
        <v>14</v>
      </c>
      <c r="U38" s="705">
        <f t="shared" si="13"/>
        <v>100</v>
      </c>
      <c r="V38" s="704" t="s">
        <v>14</v>
      </c>
      <c r="W38" s="705">
        <f t="shared" si="14"/>
        <v>105</v>
      </c>
      <c r="X38" s="1351"/>
      <c r="Y38" s="3722" t="s">
        <v>1693</v>
      </c>
      <c r="Z38" s="1352" t="str">
        <f t="shared" si="15"/>
        <v>业态</v>
      </c>
      <c r="AA38" s="1349">
        <f t="shared" si="3"/>
        <v>0.95238095238095233</v>
      </c>
      <c r="AB38" s="1349">
        <f t="shared" si="4"/>
        <v>1</v>
      </c>
      <c r="AC38" s="1349">
        <f t="shared" si="5"/>
        <v>0.95238095238095233</v>
      </c>
    </row>
    <row r="39" spans="1:29" ht="15">
      <c r="A39" s="423"/>
      <c r="B39" s="375" t="s">
        <v>1786</v>
      </c>
      <c r="C39" s="1902" t="s">
        <v>3418</v>
      </c>
      <c r="D39" s="386">
        <v>100</v>
      </c>
      <c r="E39" s="1902" t="s">
        <v>3418</v>
      </c>
      <c r="F39" s="412">
        <f>SUMIF(116:116,E39,117:117)-SUMIF(116:116,C39,117:117)+100</f>
        <v>100</v>
      </c>
      <c r="G39" s="1902" t="s">
        <v>3418</v>
      </c>
      <c r="H39" s="386">
        <f>SUMIF(116:116,G39,117:117)-SUMIF(116:116,C39,117:117)+100</f>
        <v>100</v>
      </c>
      <c r="I39" s="1902" t="s">
        <v>3418</v>
      </c>
      <c r="J39" s="386">
        <f>SUMIF(116:116,I39,117:117)-SUMIF(116:116,C39,117:117)+100</f>
        <v>100</v>
      </c>
      <c r="K39" s="561">
        <v>2</v>
      </c>
      <c r="L39" s="2718"/>
      <c r="M39" s="2712"/>
      <c r="N39" s="2712"/>
      <c r="O39" s="2712"/>
      <c r="P39" s="3720"/>
      <c r="Q39" s="1348" t="str">
        <f t="shared" si="11"/>
        <v>层高</v>
      </c>
      <c r="R39" s="704" t="s">
        <v>14</v>
      </c>
      <c r="S39" s="705">
        <f t="shared" si="12"/>
        <v>100</v>
      </c>
      <c r="T39" s="704" t="s">
        <v>14</v>
      </c>
      <c r="U39" s="705">
        <f t="shared" si="13"/>
        <v>100</v>
      </c>
      <c r="V39" s="704" t="s">
        <v>14</v>
      </c>
      <c r="W39" s="705">
        <f t="shared" si="14"/>
        <v>100</v>
      </c>
      <c r="X39" s="1351"/>
      <c r="Y39" s="3722"/>
      <c r="Z39" s="1352" t="str">
        <f t="shared" si="15"/>
        <v>层高</v>
      </c>
      <c r="AA39" s="1349">
        <f t="shared" si="3"/>
        <v>1</v>
      </c>
      <c r="AB39" s="1349">
        <f t="shared" si="4"/>
        <v>1</v>
      </c>
      <c r="AC39" s="1349">
        <f t="shared" si="5"/>
        <v>1</v>
      </c>
    </row>
    <row r="40" spans="1:29" ht="15">
      <c r="A40" s="423"/>
      <c r="B40" s="375" t="s">
        <v>1787</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20"/>
      <c r="Q40" s="1348" t="str">
        <f t="shared" si="11"/>
        <v>单套建筑面积</v>
      </c>
      <c r="R40" s="704" t="s">
        <v>14</v>
      </c>
      <c r="S40" s="705">
        <f t="shared" si="12"/>
        <v>100</v>
      </c>
      <c r="T40" s="704" t="s">
        <v>14</v>
      </c>
      <c r="U40" s="705">
        <f t="shared" si="13"/>
        <v>100</v>
      </c>
      <c r="V40" s="704" t="s">
        <v>14</v>
      </c>
      <c r="W40" s="705">
        <f t="shared" si="14"/>
        <v>100</v>
      </c>
      <c r="X40" s="1351"/>
      <c r="Y40" s="3722"/>
      <c r="Z40" s="1352" t="str">
        <f t="shared" si="15"/>
        <v>单套建筑面积</v>
      </c>
      <c r="AA40" s="1349">
        <f t="shared" si="3"/>
        <v>1</v>
      </c>
      <c r="AB40" s="1349">
        <f t="shared" si="4"/>
        <v>1</v>
      </c>
      <c r="AC40" s="1349">
        <f t="shared" si="5"/>
        <v>1</v>
      </c>
    </row>
    <row r="41" spans="1:29" s="422" customFormat="1" ht="15">
      <c r="A41" s="419"/>
      <c r="B41" s="1350"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20"/>
      <c r="Q41" s="706" t="str">
        <f t="shared" si="11"/>
        <v>进深比</v>
      </c>
      <c r="R41" s="707" t="s">
        <v>14</v>
      </c>
      <c r="S41" s="708">
        <f t="shared" si="12"/>
        <v>100</v>
      </c>
      <c r="T41" s="707" t="s">
        <v>14</v>
      </c>
      <c r="U41" s="708">
        <f t="shared" si="13"/>
        <v>100</v>
      </c>
      <c r="V41" s="707" t="s">
        <v>14</v>
      </c>
      <c r="W41" s="708">
        <f t="shared" si="14"/>
        <v>100</v>
      </c>
      <c r="X41" s="709"/>
      <c r="Y41" s="3722"/>
      <c r="Z41" s="710" t="str">
        <f t="shared" si="15"/>
        <v>进深比</v>
      </c>
      <c r="AA41" s="1349">
        <f t="shared" si="3"/>
        <v>1</v>
      </c>
      <c r="AB41" s="1349">
        <f t="shared" si="4"/>
        <v>1</v>
      </c>
      <c r="AC41" s="1349">
        <f t="shared" si="5"/>
        <v>1</v>
      </c>
    </row>
    <row r="42" spans="1:29" ht="15">
      <c r="A42" s="423"/>
      <c r="B42" s="375" t="s">
        <v>1789</v>
      </c>
      <c r="C42" s="1902" t="s">
        <v>3420</v>
      </c>
      <c r="D42" s="386">
        <v>100</v>
      </c>
      <c r="E42" s="1902" t="s">
        <v>3420</v>
      </c>
      <c r="F42" s="412">
        <f>SUMIF(122:122,E42,123:123)-SUMIF(122:122,C42,123:123)+100</f>
        <v>100</v>
      </c>
      <c r="G42" s="1902" t="s">
        <v>3420</v>
      </c>
      <c r="H42" s="386">
        <f>SUMIF(122:122,G42,123:123)-SUMIF(122:122,C42,123:123)+100</f>
        <v>100</v>
      </c>
      <c r="I42" s="1902" t="s">
        <v>3420</v>
      </c>
      <c r="J42" s="386">
        <f>SUMIF(122:122,I42,123:123)-SUMIF(122:122,C42,123:123)+100</f>
        <v>100</v>
      </c>
      <c r="K42" s="561">
        <v>2</v>
      </c>
      <c r="L42" s="2718"/>
      <c r="M42" s="2712"/>
      <c r="N42" s="2712"/>
      <c r="O42" s="2712"/>
      <c r="P42" s="3720"/>
      <c r="Q42" s="1348" t="str">
        <f t="shared" si="11"/>
        <v>内部装修</v>
      </c>
      <c r="R42" s="704" t="s">
        <v>14</v>
      </c>
      <c r="S42" s="705">
        <f t="shared" si="12"/>
        <v>100</v>
      </c>
      <c r="T42" s="704" t="s">
        <v>14</v>
      </c>
      <c r="U42" s="705">
        <f t="shared" si="13"/>
        <v>100</v>
      </c>
      <c r="V42" s="704" t="s">
        <v>14</v>
      </c>
      <c r="W42" s="705">
        <f t="shared" si="14"/>
        <v>100</v>
      </c>
      <c r="X42" s="1351"/>
      <c r="Y42" s="3722"/>
      <c r="Z42" s="1352" t="str">
        <f t="shared" si="15"/>
        <v>内部装修</v>
      </c>
      <c r="AA42" s="1349">
        <f t="shared" si="3"/>
        <v>1</v>
      </c>
      <c r="AB42" s="1349">
        <f t="shared" si="4"/>
        <v>1</v>
      </c>
      <c r="AC42" s="1349">
        <f t="shared" si="5"/>
        <v>1</v>
      </c>
    </row>
    <row r="43" spans="1:29" ht="15">
      <c r="A43" s="423"/>
      <c r="B43" s="375" t="s">
        <v>1704</v>
      </c>
      <c r="C43" s="1902" t="s">
        <v>3399</v>
      </c>
      <c r="D43" s="386">
        <v>100</v>
      </c>
      <c r="E43" s="1902" t="s">
        <v>3399</v>
      </c>
      <c r="F43" s="412">
        <f>SUMIF(124:124,E43,125:125)-SUMIF(124:124,C43,125:125)+100</f>
        <v>100</v>
      </c>
      <c r="G43" s="1902" t="s">
        <v>3399</v>
      </c>
      <c r="H43" s="386">
        <f>SUMIF(124:124,G43,125:125)-SUMIF(124:124,C43,125:125)+100</f>
        <v>100</v>
      </c>
      <c r="I43" s="1902" t="s">
        <v>3399</v>
      </c>
      <c r="J43" s="386">
        <f>SUMIF(124:124,I43,125:125)-SUMIF(124:124,C43,125:125)+100</f>
        <v>100</v>
      </c>
      <c r="K43" s="561">
        <v>2</v>
      </c>
      <c r="L43" s="2718"/>
      <c r="M43" s="2712"/>
      <c r="N43" s="2712"/>
      <c r="O43" s="2712"/>
      <c r="P43" s="3720"/>
      <c r="Q43" s="1348" t="str">
        <f t="shared" si="11"/>
        <v>内部装修维护情况</v>
      </c>
      <c r="R43" s="704" t="s">
        <v>14</v>
      </c>
      <c r="S43" s="705">
        <f t="shared" si="12"/>
        <v>100</v>
      </c>
      <c r="T43" s="704" t="s">
        <v>14</v>
      </c>
      <c r="U43" s="705">
        <f t="shared" si="13"/>
        <v>100</v>
      </c>
      <c r="V43" s="704" t="s">
        <v>14</v>
      </c>
      <c r="W43" s="705">
        <f t="shared" si="14"/>
        <v>100</v>
      </c>
      <c r="X43" s="1351"/>
      <c r="Y43" s="3722"/>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20"/>
      <c r="Q44" s="1339">
        <f t="shared" si="11"/>
        <v>111</v>
      </c>
      <c r="R44" s="700" t="s">
        <v>14</v>
      </c>
      <c r="S44" s="701">
        <f t="shared" si="12"/>
        <v>100</v>
      </c>
      <c r="T44" s="700" t="s">
        <v>14</v>
      </c>
      <c r="U44" s="701">
        <f t="shared" si="13"/>
        <v>100</v>
      </c>
      <c r="V44" s="700" t="s">
        <v>14</v>
      </c>
      <c r="W44" s="701">
        <f t="shared" si="14"/>
        <v>100</v>
      </c>
      <c r="X44" s="702"/>
      <c r="Y44" s="3722"/>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0"/>
      <c r="Q45" s="1348">
        <f t="shared" si="11"/>
        <v>111</v>
      </c>
      <c r="R45" s="704" t="s">
        <v>14</v>
      </c>
      <c r="S45" s="705">
        <f t="shared" si="12"/>
        <v>100</v>
      </c>
      <c r="T45" s="704" t="s">
        <v>14</v>
      </c>
      <c r="U45" s="705">
        <f t="shared" si="13"/>
        <v>100</v>
      </c>
      <c r="V45" s="704" t="s">
        <v>14</v>
      </c>
      <c r="W45" s="705">
        <f t="shared" si="14"/>
        <v>100</v>
      </c>
      <c r="X45" s="1351"/>
      <c r="Y45" s="3722"/>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1"/>
      <c r="Q46" s="1348">
        <f t="shared" si="11"/>
        <v>111</v>
      </c>
      <c r="R46" s="704" t="s">
        <v>14</v>
      </c>
      <c r="S46" s="705">
        <f t="shared" si="12"/>
        <v>100</v>
      </c>
      <c r="T46" s="704" t="s">
        <v>14</v>
      </c>
      <c r="U46" s="705">
        <f t="shared" si="13"/>
        <v>100</v>
      </c>
      <c r="V46" s="704" t="s">
        <v>14</v>
      </c>
      <c r="W46" s="705">
        <f t="shared" si="14"/>
        <v>100</v>
      </c>
      <c r="X46" s="1351"/>
      <c r="Y46" s="3723"/>
      <c r="Z46" s="1352">
        <f t="shared" si="15"/>
        <v>111</v>
      </c>
      <c r="AA46" s="1349">
        <f t="shared" si="3"/>
        <v>1</v>
      </c>
      <c r="AB46" s="1349">
        <f t="shared" si="4"/>
        <v>1</v>
      </c>
      <c r="AC46" s="1349">
        <f t="shared" si="5"/>
        <v>1</v>
      </c>
    </row>
    <row r="47" spans="1:29" ht="15">
      <c r="A47" s="430" t="s">
        <v>1705</v>
      </c>
      <c r="B47" s="431"/>
      <c r="C47" s="1150" t="s">
        <v>0</v>
      </c>
      <c r="D47" s="1151"/>
      <c r="E47" s="1152">
        <v>48625</v>
      </c>
      <c r="F47" s="1153"/>
      <c r="G47" s="1154">
        <v>51160</v>
      </c>
      <c r="H47" s="1155"/>
      <c r="I47" s="1152">
        <v>56603</v>
      </c>
      <c r="J47" s="1155"/>
      <c r="K47" s="713"/>
      <c r="L47" s="2720"/>
      <c r="M47" s="2721"/>
      <c r="N47" s="2712"/>
      <c r="O47" s="2721"/>
      <c r="P47" s="3710" t="str">
        <f>A47</f>
        <v>成交单价（元/平方米）</v>
      </c>
      <c r="Q47" s="3710"/>
      <c r="R47" s="3724">
        <f>E47</f>
        <v>48625</v>
      </c>
      <c r="S47" s="3724"/>
      <c r="T47" s="3724">
        <f>G47</f>
        <v>51160</v>
      </c>
      <c r="U47" s="3724"/>
      <c r="V47" s="3724">
        <f>I47</f>
        <v>56603</v>
      </c>
      <c r="W47" s="3724"/>
      <c r="X47" s="689"/>
      <c r="Y47" s="711"/>
      <c r="Z47" s="689"/>
      <c r="AA47" s="689"/>
      <c r="AB47" s="689"/>
      <c r="AC47" s="689"/>
    </row>
    <row r="48" spans="1:29" ht="15.75" thickBot="1">
      <c r="A48" s="437" t="s">
        <v>1790</v>
      </c>
      <c r="B48" s="438"/>
      <c r="C48" s="1156">
        <f>R49</f>
        <v>48822</v>
      </c>
      <c r="D48" s="2313" t="s">
        <v>2133</v>
      </c>
      <c r="E48" s="1157">
        <f>R48</f>
        <v>44961</v>
      </c>
      <c r="F48" s="2314"/>
      <c r="G48" s="1156">
        <f>T48</f>
        <v>49670</v>
      </c>
      <c r="H48" s="2314"/>
      <c r="I48" s="1157">
        <f>V48</f>
        <v>51834</v>
      </c>
      <c r="J48" s="2314"/>
      <c r="K48" s="2316">
        <f>F48+H48+J48</f>
        <v>0</v>
      </c>
      <c r="L48" s="2720"/>
      <c r="M48" s="2721"/>
      <c r="N48" s="2712"/>
      <c r="O48" s="2721"/>
      <c r="P48" s="3710" t="str">
        <f>A48</f>
        <v>比较价值（元/平方米）</v>
      </c>
      <c r="Q48" s="3710"/>
      <c r="R48" s="3711">
        <f>IF(F1="售价",ROUND(PRODUCT(R47,AA7:AA46),0),ROUND(PRODUCT(R47,AA7:AA46),1))</f>
        <v>44961</v>
      </c>
      <c r="S48" s="3711"/>
      <c r="T48" s="3711">
        <f>IF(F1="售价",ROUND(PRODUCT(T47,AB7:AB46),0),ROUND(PRODUCT(T47,AB7:AB46),1))</f>
        <v>49670</v>
      </c>
      <c r="U48" s="3711"/>
      <c r="V48" s="3711">
        <f>IF(F1="售价",ROUND(PRODUCT(V47,AC7:AC46),0),ROUND(PRODUCT(V47,AC7:AC46),1))</f>
        <v>51834</v>
      </c>
      <c r="W48" s="3711"/>
      <c r="X48" s="689"/>
      <c r="Y48" s="689"/>
      <c r="Z48" s="689"/>
      <c r="AA48" s="689"/>
      <c r="AB48" s="689"/>
      <c r="AC48" s="689"/>
    </row>
    <row r="49" spans="1:29" ht="15.75" thickBot="1">
      <c r="A49" s="441" t="s">
        <v>1791</v>
      </c>
      <c r="B49" s="442"/>
      <c r="C49" s="1159">
        <f>R49</f>
        <v>48822</v>
      </c>
      <c r="D49" s="1159"/>
      <c r="E49" s="1159"/>
      <c r="F49" s="1159"/>
      <c r="G49" s="1159"/>
      <c r="H49" s="1159"/>
      <c r="I49" s="1159"/>
      <c r="J49" s="1159"/>
      <c r="K49" s="714"/>
      <c r="L49" s="2720"/>
      <c r="M49" s="2721"/>
      <c r="N49" s="2712"/>
      <c r="O49" s="2721"/>
      <c r="P49" s="3712" t="str">
        <f>A49</f>
        <v>估价对象XX用房的比较价值（楼面单价，元/平方米）</v>
      </c>
      <c r="Q49" s="3713"/>
      <c r="R49" s="3714">
        <f>IF(F1="售价",ROUND(IF(D48="简单平均",AVERAGE(R48:V48),R48*F48+T48*H48+V48*J48),0),ROUND(IF(D48="简单平均",AVERAGE(R48:V48),R48*F48+T48*H48+V48*J48),1))</f>
        <v>48822</v>
      </c>
      <c r="S49" s="3714"/>
      <c r="T49" s="3714"/>
      <c r="U49" s="3714"/>
      <c r="V49" s="3714"/>
      <c r="W49" s="3714"/>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1792</v>
      </c>
      <c r="D52" s="447"/>
      <c r="E52" s="448">
        <f>IF(E47&lt;E48,E48/E47-1,E47/E48-1)</f>
        <v>8.1492849358332675E-2</v>
      </c>
      <c r="F52" s="449" t="str">
        <f>IF(OR(E52&gt;=0.3,E52&lt;=-0.3),"超过30%","")</f>
        <v/>
      </c>
      <c r="G52" s="448">
        <f>IF(G47&lt;G48,G48/G47-1,G47/G48-1)</f>
        <v>2.999798671230125E-2</v>
      </c>
      <c r="H52" s="449" t="str">
        <f>IF(OR(G52&gt;=0.3,G52&lt;=-0.3),"超过30%","")</f>
        <v/>
      </c>
      <c r="I52" s="448">
        <f>IF(I47&lt;I48,I48/I47-1,I47/I48-1)</f>
        <v>9.200524752093231E-2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1793</v>
      </c>
      <c r="D53" s="450"/>
      <c r="E53" s="448">
        <f>IF(E48&lt;G48,G48/E48-1,E48/G48-1)</f>
        <v>0.10473521496407989</v>
      </c>
      <c r="F53" s="449" t="str">
        <f>IF(OR(E53&gt;=0.2,E53&lt;=-0.2),"超过20%","")</f>
        <v/>
      </c>
      <c r="G53" s="448">
        <f>IF(G48&lt;I48,I48/G48-1,G48/I48-1)</f>
        <v>4.3567545802295049E-2</v>
      </c>
      <c r="H53" s="449" t="str">
        <f>IF(OR(G53&gt;=0.2,G53&lt;=-0.2),"超过20%","")</f>
        <v/>
      </c>
      <c r="I53" s="448">
        <f>IF(I48&lt;E48,E48/I48-1,I48/E48-1)</f>
        <v>0.15286581704143587</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1794</v>
      </c>
      <c r="D54" s="450"/>
      <c r="E54" s="448">
        <f>IF(E47&lt;G47,G47/E47-1,E47/G47-1)</f>
        <v>5.2133676092545045E-2</v>
      </c>
      <c r="F54" s="449" t="str">
        <f>IF(OR(E54&gt;=0.3,E54&lt;=-0.3),"超过30%","")</f>
        <v/>
      </c>
      <c r="G54" s="448">
        <f>IF(G47&lt;I47,I47/G47-1,G47/I47-1)</f>
        <v>0.10639171227521493</v>
      </c>
      <c r="H54" s="449" t="str">
        <f>IF(OR(G54&gt;=0.3,G54&lt;=-0.3),"超过30%","")</f>
        <v/>
      </c>
      <c r="I54" s="448">
        <f>IF(I47&lt;E47,E47/I47-1,I47/E47-1)</f>
        <v>0.1640719794344474</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1795</v>
      </c>
      <c r="B57" s="689"/>
      <c r="C57" s="694"/>
      <c r="D57" s="694"/>
      <c r="E57" s="694"/>
      <c r="F57" s="695"/>
      <c r="G57" s="695"/>
      <c r="H57" s="694"/>
      <c r="I57" s="694"/>
      <c r="J57" s="694"/>
      <c r="K57" s="696"/>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1676</v>
      </c>
      <c r="B58" s="455"/>
      <c r="C58" s="1180" t="str">
        <f>YEAR(C7)&amp;"-"&amp;MONTH(C7)</f>
        <v>2024-6</v>
      </c>
      <c r="D58" s="1181">
        <f>EDATE(C58,-1)</f>
        <v>45413</v>
      </c>
      <c r="E58" s="1181">
        <f t="shared" ref="E58:N58" si="16">EDATE(D58,-1)</f>
        <v>45383</v>
      </c>
      <c r="F58" s="1181">
        <f t="shared" si="16"/>
        <v>45352</v>
      </c>
      <c r="G58" s="1181">
        <f t="shared" si="16"/>
        <v>45323</v>
      </c>
      <c r="H58" s="1181">
        <f t="shared" si="16"/>
        <v>45292</v>
      </c>
      <c r="I58" s="1181">
        <f t="shared" si="16"/>
        <v>45261</v>
      </c>
      <c r="J58" s="1181">
        <f t="shared" si="16"/>
        <v>45231</v>
      </c>
      <c r="K58" s="1181">
        <f t="shared" si="16"/>
        <v>45200</v>
      </c>
      <c r="L58" s="1181">
        <f t="shared" si="16"/>
        <v>45170</v>
      </c>
      <c r="M58" s="1181">
        <f t="shared" si="16"/>
        <v>45139</v>
      </c>
      <c r="N58" s="1181">
        <f t="shared" si="16"/>
        <v>45108</v>
      </c>
      <c r="O58" s="1181">
        <f>EDATE(N58,-1)</f>
        <v>45078</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1713</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1678</v>
      </c>
      <c r="B61" s="459"/>
      <c r="C61" s="471" t="s">
        <v>1773</v>
      </c>
      <c r="D61" s="3447"/>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1716</v>
      </c>
      <c r="B63" s="477" t="s">
        <v>1682</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1685</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1686</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1687</v>
      </c>
      <c r="B76" s="477" t="s">
        <v>1717</v>
      </c>
      <c r="C76" s="522" t="s">
        <v>1718</v>
      </c>
      <c r="D76" s="522" t="s">
        <v>1719</v>
      </c>
      <c r="E76" s="522" t="s">
        <v>1720</v>
      </c>
      <c r="F76" s="522" t="s">
        <v>1721</v>
      </c>
      <c r="G76" s="522" t="s">
        <v>1722</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1723</v>
      </c>
      <c r="C78" s="527" t="s">
        <v>1718</v>
      </c>
      <c r="D78" s="527" t="s">
        <v>1719</v>
      </c>
      <c r="E78" s="527" t="s">
        <v>1720</v>
      </c>
      <c r="F78" s="527" t="s">
        <v>1721</v>
      </c>
      <c r="G78" s="527" t="s">
        <v>1722</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1724</v>
      </c>
      <c r="C80" s="527" t="s">
        <v>1718</v>
      </c>
      <c r="D80" s="527" t="s">
        <v>1719</v>
      </c>
      <c r="E80" s="527" t="s">
        <v>1720</v>
      </c>
      <c r="F80" s="527" t="s">
        <v>1721</v>
      </c>
      <c r="G80" s="527" t="s">
        <v>1722</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1776</v>
      </c>
      <c r="C82" s="607" t="s">
        <v>1796</v>
      </c>
      <c r="D82" s="607" t="s">
        <v>1797</v>
      </c>
      <c r="E82" s="607" t="s">
        <v>1798</v>
      </c>
      <c r="F82" s="607" t="s">
        <v>1799</v>
      </c>
      <c r="G82" s="607" t="s">
        <v>1800</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1730</v>
      </c>
      <c r="C84" s="527" t="s">
        <v>1718</v>
      </c>
      <c r="D84" s="527" t="s">
        <v>1719</v>
      </c>
      <c r="E84" s="527" t="s">
        <v>1720</v>
      </c>
      <c r="F84" s="527" t="s">
        <v>1721</v>
      </c>
      <c r="G84" s="527" t="s">
        <v>1722</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1801</v>
      </c>
      <c r="C86" s="3445" t="s">
        <v>3394</v>
      </c>
      <c r="D86" s="3445" t="s">
        <v>3396</v>
      </c>
      <c r="E86" s="3445" t="s">
        <v>3397</v>
      </c>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3398</v>
      </c>
      <c r="D88" s="503" t="s">
        <v>3399</v>
      </c>
      <c r="E88" s="503" t="s">
        <v>3400</v>
      </c>
      <c r="F88" s="1923" t="s">
        <v>3401</v>
      </c>
      <c r="G88" s="503" t="s">
        <v>3402</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t="s">
        <v>3398</v>
      </c>
      <c r="D90" s="503" t="s">
        <v>3399</v>
      </c>
      <c r="E90" s="503" t="s">
        <v>3400</v>
      </c>
      <c r="F90" s="503" t="s">
        <v>3401</v>
      </c>
      <c r="G90" s="503" t="s">
        <v>3402</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3424</v>
      </c>
      <c r="D92" s="503" t="s">
        <v>3425</v>
      </c>
      <c r="E92" s="503" t="s">
        <v>3426</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75</v>
      </c>
      <c r="E93" s="485">
        <v>85</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1691</v>
      </c>
      <c r="B100" s="477" t="s">
        <v>1802</v>
      </c>
      <c r="C100" s="3446" t="s">
        <v>3403</v>
      </c>
      <c r="D100" s="3446" t="s">
        <v>3404</v>
      </c>
      <c r="E100" s="3446" t="s">
        <v>3416</v>
      </c>
      <c r="F100" s="3446" t="s">
        <v>3431</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1734</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1735</v>
      </c>
      <c r="C105" s="3445" t="s">
        <v>3406</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1737</v>
      </c>
      <c r="C107" s="503" t="s">
        <v>3407</v>
      </c>
      <c r="D107" s="503" t="s">
        <v>3408</v>
      </c>
      <c r="E107" s="503" t="s">
        <v>3409</v>
      </c>
      <c r="F107" s="532" t="s">
        <v>3410</v>
      </c>
      <c r="G107" s="532" t="s">
        <v>3411</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1739</v>
      </c>
      <c r="C112" s="503" t="s">
        <v>3407</v>
      </c>
      <c r="D112" s="503" t="s">
        <v>3408</v>
      </c>
      <c r="E112" s="503" t="s">
        <v>3409</v>
      </c>
      <c r="F112" s="503" t="s">
        <v>3410</v>
      </c>
      <c r="G112" s="503" t="s">
        <v>3411</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1803</v>
      </c>
      <c r="C114" s="3445" t="s">
        <v>3413</v>
      </c>
      <c r="D114" s="3445" t="s">
        <v>3415</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1804</v>
      </c>
      <c r="C116" s="3445" t="s">
        <v>3417</v>
      </c>
      <c r="D116" s="3445" t="s">
        <v>3419</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1805</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1806</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1741</v>
      </c>
      <c r="C122" s="3445" t="s">
        <v>3421</v>
      </c>
      <c r="D122" s="3445" t="s">
        <v>3422</v>
      </c>
      <c r="E122" s="3445" t="s">
        <v>3423</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6"/>
      <c r="C1" s="1855" t="s">
        <v>1560</v>
      </c>
      <c r="D1" s="198"/>
      <c r="E1" s="198"/>
      <c r="F1" s="198"/>
      <c r="G1" s="1122">
        <f>MATCH(B1,'数据-取费表'!A6:A16,0)+5</f>
        <v>7</v>
      </c>
      <c r="H1" s="1057" t="str">
        <f>IF(ISERROR(FIND("住宅",B1)),"非住宅","住宅")</f>
        <v>非住宅</v>
      </c>
    </row>
    <row r="2" spans="1:8" s="200" customFormat="1" ht="18" customHeight="1">
      <c r="A2" s="201" t="s">
        <v>1459</v>
      </c>
      <c r="B2" s="3420">
        <f ca="1">ROUND(IF(D2="——",C52/10000,C52/10000-E2),4)</f>
        <v>14430.438</v>
      </c>
      <c r="C2" s="199" t="s">
        <v>1460</v>
      </c>
      <c r="D2" s="1849" t="s">
        <v>43</v>
      </c>
      <c r="E2" s="1165" t="e">
        <f ca="1">SUMIF(INDIRECT("'"&amp;G2&amp;"'"&amp;"!A:A"),"承租人权益价值",INDIRECT("'"&amp;G2&amp;"'"&amp;"!c:c"))</f>
        <v>#REF!</v>
      </c>
      <c r="F2" s="1850" t="s">
        <v>1460</v>
      </c>
      <c r="G2" s="1851"/>
    </row>
    <row r="3" spans="1:8" s="200" customFormat="1" ht="18" customHeight="1" thickBot="1">
      <c r="A3" s="203" t="s">
        <v>1461</v>
      </c>
      <c r="B3" s="204">
        <f ca="1">ROUND(B2*10000/(IF(B1="",'数据-汇总表'!E3,INDIRECT("'数据-取费表'!k"&amp;$G$1))),0)</f>
        <v>7134</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75098939</v>
      </c>
      <c r="D5" s="211" t="s">
        <v>1466</v>
      </c>
      <c r="E5" s="212" t="s">
        <v>1467</v>
      </c>
      <c r="F5" s="212" t="s">
        <v>1468</v>
      </c>
      <c r="G5" s="213"/>
    </row>
    <row r="6" spans="1:8" s="214" customFormat="1" ht="13.5" customHeight="1">
      <c r="A6" s="774" t="s">
        <v>1469</v>
      </c>
      <c r="B6" s="215" t="s">
        <v>1470</v>
      </c>
      <c r="C6" s="216">
        <f>ROUND(基准地价修正!C33*基准地价修正!D33,0)</f>
        <v>68950307</v>
      </c>
      <c r="D6" s="217"/>
      <c r="E6" s="218"/>
      <c r="F6" s="218"/>
      <c r="G6" s="219"/>
    </row>
    <row r="7" spans="1:8" s="214" customFormat="1" ht="13.5" customHeight="1">
      <c r="A7" s="774" t="s">
        <v>1471</v>
      </c>
      <c r="B7" s="215" t="s">
        <v>1472</v>
      </c>
      <c r="C7" s="220">
        <f>ROUND(C6*F7,0)</f>
        <v>2102984</v>
      </c>
      <c r="D7" s="220"/>
      <c r="E7" s="218"/>
      <c r="F7" s="221">
        <f>IF(项目基本情况!B8="出让",0,'数据-取费表'!B48+'数据-取费表'!B49)</f>
        <v>3.0499999999999999E-2</v>
      </c>
      <c r="G7" s="219"/>
    </row>
    <row r="8" spans="1:8" s="223" customFormat="1">
      <c r="A8" s="774" t="s">
        <v>1473</v>
      </c>
      <c r="B8" s="215" t="s">
        <v>1474</v>
      </c>
      <c r="C8" s="220">
        <f ca="1">IF(G8="已包含在土地购买价格中",0,C9+C10)</f>
        <v>4045648</v>
      </c>
      <c r="D8" s="222"/>
      <c r="E8" s="220"/>
      <c r="F8" s="221"/>
      <c r="G8" s="1852" t="s">
        <v>3433</v>
      </c>
    </row>
    <row r="9" spans="1:8" s="214" customFormat="1" ht="13.5" customHeight="1">
      <c r="A9" s="775" t="s">
        <v>354</v>
      </c>
      <c r="B9" s="224" t="s">
        <v>1475</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355</v>
      </c>
      <c r="B10" s="224" t="s">
        <v>1477</v>
      </c>
      <c r="C10" s="225">
        <f ca="1">ROUND(D10*E10,0)</f>
        <v>4045648</v>
      </c>
      <c r="D10" s="841">
        <f ca="1">IF(B1="",'数据-汇总表'!E6,IF(INDIRECT("'数据-取费表'!c"&amp;$G$1)="住宅",INDIRECT("'数据-取费表'!s"&amp;$G$1),INDIRECT("'数据-取费表'!k"&amp;$G$1)+INDIRECT("'数据-取费表'!s"&amp;$G$1)))</f>
        <v>20228.239999999998</v>
      </c>
      <c r="E10" s="225">
        <f>'数据-取费表'!B28</f>
        <v>200</v>
      </c>
      <c r="F10" s="221"/>
      <c r="G10" s="226"/>
    </row>
    <row r="11" spans="1:8" s="214" customFormat="1" ht="13.5" hidden="1" customHeight="1">
      <c r="A11" s="227" t="s">
        <v>4</v>
      </c>
      <c r="B11" s="215" t="s">
        <v>1478</v>
      </c>
      <c r="C11" s="211"/>
      <c r="D11" s="843"/>
      <c r="E11" s="218"/>
      <c r="F11" s="218"/>
      <c r="G11" s="219"/>
    </row>
    <row r="12" spans="1:8" s="214" customFormat="1" ht="13.5" hidden="1" customHeight="1">
      <c r="A12" s="227" t="s">
        <v>5</v>
      </c>
      <c r="B12" s="215" t="s">
        <v>1561</v>
      </c>
      <c r="C12" s="211">
        <v>0</v>
      </c>
      <c r="D12" s="843"/>
      <c r="E12" s="228"/>
      <c r="F12" s="221">
        <v>3.0499999999999999E-2</v>
      </c>
      <c r="G12" s="219"/>
    </row>
    <row r="13" spans="1:8" s="214" customFormat="1" ht="13.5" hidden="1" customHeight="1">
      <c r="A13" s="227" t="s">
        <v>6</v>
      </c>
      <c r="B13" s="215" t="s">
        <v>1562</v>
      </c>
      <c r="C13" s="211"/>
      <c r="D13" s="843"/>
      <c r="E13" s="218"/>
      <c r="F13" s="218"/>
      <c r="G13" s="219"/>
    </row>
    <row r="14" spans="1:8" s="214" customFormat="1" ht="13.5" hidden="1" customHeight="1">
      <c r="A14" s="227" t="s">
        <v>7</v>
      </c>
      <c r="B14" s="215" t="s">
        <v>1474</v>
      </c>
      <c r="C14" s="211"/>
      <c r="D14" s="843"/>
      <c r="E14" s="218"/>
      <c r="F14" s="218"/>
      <c r="G14" s="219" t="s">
        <v>1563</v>
      </c>
    </row>
    <row r="15" spans="1:8" s="214" customFormat="1" ht="13.5" hidden="1" customHeight="1">
      <c r="A15" s="227" t="s">
        <v>8</v>
      </c>
      <c r="B15" s="215" t="s">
        <v>1564</v>
      </c>
      <c r="C15" s="220"/>
      <c r="D15" s="843"/>
      <c r="E15" s="218"/>
      <c r="F15" s="218"/>
      <c r="G15" s="219" t="s">
        <v>1565</v>
      </c>
    </row>
    <row r="16" spans="1:8" s="214" customFormat="1" ht="13.5" hidden="1" customHeight="1">
      <c r="A16" s="227" t="s">
        <v>9</v>
      </c>
      <c r="B16" s="215" t="s">
        <v>1474</v>
      </c>
      <c r="C16" s="220"/>
      <c r="D16" s="843"/>
      <c r="E16" s="218"/>
      <c r="F16" s="218"/>
      <c r="G16" s="219"/>
    </row>
    <row r="17" spans="1:7" s="214" customFormat="1" ht="13.5" hidden="1" customHeight="1">
      <c r="A17" s="227" t="s">
        <v>10</v>
      </c>
      <c r="B17" s="215" t="s">
        <v>1566</v>
      </c>
      <c r="C17" s="229"/>
      <c r="D17" s="844"/>
      <c r="E17" s="229"/>
      <c r="F17" s="229"/>
      <c r="G17" s="219" t="s">
        <v>1565</v>
      </c>
    </row>
    <row r="18" spans="1:7" s="214" customFormat="1" ht="13.5" hidden="1" customHeight="1">
      <c r="A18" s="227" t="s">
        <v>11</v>
      </c>
      <c r="B18" s="215" t="s">
        <v>1567</v>
      </c>
      <c r="C18" s="220">
        <v>0</v>
      </c>
      <c r="D18" s="843"/>
      <c r="E18" s="218"/>
      <c r="F18" s="221">
        <v>3.0499999999999999E-2</v>
      </c>
      <c r="G18" s="219" t="s">
        <v>1568</v>
      </c>
    </row>
    <row r="19" spans="1:7" s="223" customFormat="1" ht="13.5" customHeight="1">
      <c r="A19" s="255" t="s">
        <v>1569</v>
      </c>
      <c r="B19" s="210" t="s">
        <v>1570</v>
      </c>
      <c r="C19" s="211" t="str">
        <f>IF(G19="已包含在土地取得成本中","0",ROUND(D19*E19,0))</f>
        <v>0</v>
      </c>
      <c r="D19" s="845">
        <f ca="1">D9+D10</f>
        <v>20228.239999999998</v>
      </c>
      <c r="E19" s="211">
        <f>'数据-取费表'!B31</f>
        <v>200</v>
      </c>
      <c r="F19" s="231"/>
      <c r="G19" s="1852" t="s">
        <v>3434</v>
      </c>
    </row>
    <row r="20" spans="1:7" s="214" customFormat="1" ht="13.5" customHeight="1">
      <c r="A20" s="255" t="s">
        <v>1571</v>
      </c>
      <c r="B20" s="210" t="s">
        <v>1572</v>
      </c>
      <c r="C20" s="232">
        <f ca="1">ROUND((C5+C19)*F20,0)</f>
        <v>1501979</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3">
        <f ca="1">ROUND(SUM(C23:C25),0)</f>
        <v>3958398</v>
      </c>
      <c r="D22" s="235">
        <f ca="1">C26</f>
        <v>5.0000000000000001E-4</v>
      </c>
      <c r="E22" s="236" t="s">
        <v>1576</v>
      </c>
      <c r="F22" s="237">
        <f ca="1">'数据-取费表'!B40</f>
        <v>3.4500000000000003E-2</v>
      </c>
      <c r="G22" s="234" t="str">
        <f>IF('数据-取费表'!B22&lt;=1,"单利计息","复利计息")</f>
        <v>复利计息</v>
      </c>
    </row>
    <row r="23" spans="1:7" s="214" customFormat="1" ht="13.5" customHeight="1">
      <c r="A23" s="776" t="s">
        <v>1469</v>
      </c>
      <c r="B23" s="215" t="s">
        <v>1580</v>
      </c>
      <c r="C23" s="1124">
        <f ca="1">ROUND(IF('数据-取费表'!B22&lt;=1,C5*F22*'数据-取费表'!B22,C5*(POWER((1+F22),'数据-取费表'!B22)-1)),0)</f>
        <v>3919700</v>
      </c>
      <c r="D23" s="238"/>
      <c r="E23" s="238"/>
      <c r="F23" s="239"/>
      <c r="G23" s="240" t="s">
        <v>1581</v>
      </c>
    </row>
    <row r="24" spans="1:7" s="214" customFormat="1" ht="13.5" customHeight="1">
      <c r="A24" s="776" t="s">
        <v>1471</v>
      </c>
      <c r="B24" s="215" t="s">
        <v>1582</v>
      </c>
      <c r="C24" s="1124">
        <f ca="1">ROUND(IF('数据-取费表'!B22&lt;=1,C19*F22*('数据-取费表'!B19/2+'数据-取费表'!B20),C19*(POWER((1+F22),('数据-取费表'!B19/2+'数据-取费表'!B20))-1)),0)</f>
        <v>0</v>
      </c>
      <c r="D24" s="238"/>
      <c r="E24" s="238"/>
      <c r="F24" s="239"/>
      <c r="G24" s="240" t="s">
        <v>1583</v>
      </c>
    </row>
    <row r="25" spans="1:7" s="214" customFormat="1" ht="24">
      <c r="A25" s="776" t="s">
        <v>1473</v>
      </c>
      <c r="B25" s="215" t="s">
        <v>1584</v>
      </c>
      <c r="C25" s="1124">
        <f ca="1">ROUND(IF('数据-取费表'!B22&lt;=1,C20*F22*'数据-取费表'!B22/2,C20*(POWER((1+F22),'数据-取费表'!B22/2)-1)),0)</f>
        <v>38698</v>
      </c>
      <c r="D25" s="238"/>
      <c r="E25" s="241"/>
      <c r="F25" s="239"/>
      <c r="G25" s="242" t="s">
        <v>1585</v>
      </c>
    </row>
    <row r="26" spans="1:7" s="214" customFormat="1">
      <c r="A26" s="776" t="s">
        <v>349</v>
      </c>
      <c r="B26" s="215" t="s">
        <v>1508</v>
      </c>
      <c r="C26" s="238">
        <f ca="1">ROUND(IF('数据-取费表'!B22&lt;=1,F21*F22*'数据-取费表'!B22/2,F21*(POWER((1+F22),'数据-取费表'!B22/2)-1)),4)</f>
        <v>5.0000000000000001E-4</v>
      </c>
      <c r="D26" s="238"/>
      <c r="E26" s="241"/>
      <c r="F26" s="239"/>
      <c r="G26" s="243"/>
    </row>
    <row r="27" spans="1:7" s="214" customFormat="1" ht="24.75">
      <c r="A27" s="255" t="s">
        <v>1509</v>
      </c>
      <c r="B27" s="244" t="s">
        <v>1510</v>
      </c>
      <c r="C27" s="245">
        <f ca="1">C28</f>
        <v>7660092</v>
      </c>
      <c r="D27" s="235">
        <f ca="1">C29</f>
        <v>2E-3</v>
      </c>
      <c r="E27" s="236" t="s">
        <v>1511</v>
      </c>
      <c r="F27" s="246">
        <f ca="1">IF(B1="",'数据-取费表'!Q16,INDIRECT("'数据-取费表'!q"&amp;$G$1))</f>
        <v>0.1</v>
      </c>
      <c r="G27" s="247" t="s">
        <v>1512</v>
      </c>
    </row>
    <row r="28" spans="1:7" s="214" customFormat="1" ht="13.5" customHeight="1">
      <c r="A28" s="776" t="s">
        <v>345</v>
      </c>
      <c r="B28" s="248" t="s">
        <v>1513</v>
      </c>
      <c r="C28" s="249">
        <f ca="1">ROUND((C5+C19+C20)*F27,0)</f>
        <v>7660092</v>
      </c>
      <c r="D28" s="235"/>
      <c r="E28" s="236"/>
      <c r="F28" s="246"/>
      <c r="G28" s="247"/>
    </row>
    <row r="29" spans="1:7" s="214" customFormat="1" ht="13.5" customHeight="1">
      <c r="A29" s="776" t="s">
        <v>346</v>
      </c>
      <c r="B29" s="248" t="s">
        <v>1514</v>
      </c>
      <c r="C29" s="238">
        <f ca="1">ROUND(C21*F27,4)</f>
        <v>2E-3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95362024</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336</v>
      </c>
      <c r="B33" s="210" t="s">
        <v>1587</v>
      </c>
      <c r="C33" s="256">
        <f ca="1">SUM(C34:C38)</f>
        <v>57144778</v>
      </c>
      <c r="D33" s="232"/>
      <c r="E33" s="212"/>
      <c r="F33" s="241"/>
      <c r="G33" s="234"/>
    </row>
    <row r="34" spans="1:7" s="258" customFormat="1" ht="13.5" customHeight="1">
      <c r="A34" s="776" t="s">
        <v>345</v>
      </c>
      <c r="B34" s="215" t="s">
        <v>1522</v>
      </c>
      <c r="C34" s="220">
        <f ca="1">ROUND(IF(B1="",SUMPRODUCT('数据-取费表'!K6:K14,'数据-取费表'!L6:L14),INDIRECT("'数据-取费表'!l"&amp;$G$1)*INDIRECT("'数据-取费表'!k"&amp;$G$1)+'数据-取费表'!L14*INDIRECT("'数据-取费表'!S"&amp;$G$1)),0)</f>
        <v>50570600</v>
      </c>
      <c r="D34" s="217"/>
      <c r="E34" s="220"/>
      <c r="F34" s="257"/>
      <c r="G34" s="219"/>
    </row>
    <row r="35" spans="1:7" ht="13.5" customHeight="1">
      <c r="A35" s="776" t="s">
        <v>350</v>
      </c>
      <c r="B35" s="215" t="s">
        <v>1524</v>
      </c>
      <c r="C35" s="220">
        <f ca="1">ROUND(C34*F35,0)</f>
        <v>1517118</v>
      </c>
      <c r="D35" s="220"/>
      <c r="E35" s="220"/>
      <c r="F35" s="259">
        <f>'数据-取费表'!B33</f>
        <v>0.03</v>
      </c>
      <c r="G35" s="219" t="s">
        <v>1525</v>
      </c>
    </row>
    <row r="36" spans="1:7" ht="24">
      <c r="A36" s="776" t="s">
        <v>351</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6" t="s">
        <v>352</v>
      </c>
      <c r="B37" s="215" t="s">
        <v>1528</v>
      </c>
      <c r="C37" s="249">
        <f ca="1">ROUND(E37*D37,0)</f>
        <v>4045648</v>
      </c>
      <c r="D37" s="217">
        <f ca="1">D19</f>
        <v>20228.239999999998</v>
      </c>
      <c r="E37" s="249">
        <f>'数据-取费表'!B35</f>
        <v>200</v>
      </c>
      <c r="F37" s="259"/>
      <c r="G37" s="261"/>
    </row>
    <row r="38" spans="1:7" ht="13.5" customHeight="1">
      <c r="A38" s="776" t="s">
        <v>353</v>
      </c>
      <c r="B38" s="215" t="s">
        <v>1530</v>
      </c>
      <c r="C38" s="220">
        <f ca="1">ROUND(C34*F38,0)</f>
        <v>1011412</v>
      </c>
      <c r="D38" s="220"/>
      <c r="E38" s="220"/>
      <c r="F38" s="259">
        <f>'数据-取费表'!B36</f>
        <v>0.02</v>
      </c>
      <c r="G38" s="219" t="s">
        <v>1525</v>
      </c>
    </row>
    <row r="39" spans="1:7" s="214" customFormat="1" ht="13.5" customHeight="1">
      <c r="A39" s="255" t="s">
        <v>1531</v>
      </c>
      <c r="B39" s="210" t="s">
        <v>1532</v>
      </c>
      <c r="C39" s="232">
        <f ca="1">ROUND(C33*F20,0)</f>
        <v>1142896</v>
      </c>
      <c r="D39" s="232"/>
      <c r="E39" s="232"/>
      <c r="F39" s="233">
        <f>F20</f>
        <v>0.02</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1501782</v>
      </c>
      <c r="D41" s="235">
        <f ca="1">C44</f>
        <v>5.0000000000000001E-4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ROUND(IF('数据-取费表'!B22&lt;=1,C33*F22*'数据-取费表'!B20/2,C33*(POWER((1+F22),'数据-取费表'!B20/2)-1)),0)</f>
        <v>1472335</v>
      </c>
      <c r="D42" s="238"/>
      <c r="E42" s="238"/>
      <c r="F42" s="239"/>
      <c r="G42" s="3700" t="s">
        <v>1588</v>
      </c>
    </row>
    <row r="43" spans="1:7" ht="13.5" customHeight="1">
      <c r="A43" s="776" t="s">
        <v>346</v>
      </c>
      <c r="B43" s="215" t="s">
        <v>1542</v>
      </c>
      <c r="C43" s="238">
        <f ca="1">ROUND(IF('数据-取费表'!B22&lt;=1,C39*F22*'数据-取费表'!B20/2,C39*(POWER((1+F22),'数据-取费表'!B20/2)-1)),0)</f>
        <v>29447</v>
      </c>
      <c r="D43" s="238"/>
      <c r="E43" s="238"/>
      <c r="F43" s="239"/>
      <c r="G43" s="3701"/>
    </row>
    <row r="44" spans="1:7" ht="13.5" customHeight="1">
      <c r="A44" s="776" t="s">
        <v>347</v>
      </c>
      <c r="B44" s="215" t="s">
        <v>1543</v>
      </c>
      <c r="C44" s="238">
        <f ca="1">ROUND(IF('数据-取费表'!B22&lt;=1,C40*F22*'数据-取费表'!B20/2,C40*(POWER((1+F22),'数据-取费表'!B20/2)-1)),4)</f>
        <v>5.0000000000000001E-4</v>
      </c>
      <c r="D44" s="238"/>
      <c r="E44" s="238"/>
      <c r="F44" s="239"/>
      <c r="G44" s="3702"/>
    </row>
    <row r="45" spans="1:7" s="214" customFormat="1" ht="13.5" customHeight="1">
      <c r="A45" s="255" t="s">
        <v>1544</v>
      </c>
      <c r="B45" s="244" t="s">
        <v>1510</v>
      </c>
      <c r="C45" s="245">
        <f ca="1">C46</f>
        <v>5828767</v>
      </c>
      <c r="D45" s="235">
        <f ca="1">C47</f>
        <v>2E-3</v>
      </c>
      <c r="E45" s="236" t="s">
        <v>1536</v>
      </c>
      <c r="F45" s="246">
        <f ca="1">F27</f>
        <v>0.1</v>
      </c>
      <c r="G45" s="247" t="s">
        <v>1545</v>
      </c>
    </row>
    <row r="46" spans="1:7" s="214" customFormat="1" ht="13.5" customHeight="1">
      <c r="A46" s="776" t="s">
        <v>345</v>
      </c>
      <c r="B46" s="248" t="s">
        <v>1546</v>
      </c>
      <c r="C46" s="249">
        <f ca="1">ROUND((C33+C39)*F27,0)</f>
        <v>5828767</v>
      </c>
      <c r="D46" s="263"/>
      <c r="E46" s="236"/>
      <c r="F46" s="246"/>
      <c r="G46" s="247"/>
    </row>
    <row r="47" spans="1:7" s="214" customFormat="1" ht="13.5" customHeight="1">
      <c r="A47" s="776" t="s">
        <v>346</v>
      </c>
      <c r="B47" s="248" t="s">
        <v>1547</v>
      </c>
      <c r="C47" s="238">
        <f ca="1">ROUND(C40*F27,4)</f>
        <v>2E-3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70930951</v>
      </c>
      <c r="D49" s="232"/>
      <c r="E49" s="232"/>
      <c r="F49" s="264"/>
      <c r="G49" s="234" t="s">
        <v>1551</v>
      </c>
    </row>
    <row r="50" spans="1:7" s="258" customFormat="1">
      <c r="A50" s="255" t="s">
        <v>1552</v>
      </c>
      <c r="B50" s="210" t="s">
        <v>1553</v>
      </c>
      <c r="C50" s="232"/>
      <c r="D50" s="232"/>
      <c r="E50" s="232"/>
      <c r="F50" s="264">
        <f>IF('数据-取费表'!B24=0,'数据-取费表'!N16,1)</f>
        <v>0.69</v>
      </c>
      <c r="G50" s="247"/>
    </row>
    <row r="51" spans="1:7" ht="16.5" customHeight="1">
      <c r="A51" s="255" t="s">
        <v>1555</v>
      </c>
      <c r="B51" s="210" t="s">
        <v>1590</v>
      </c>
      <c r="C51" s="232">
        <f ca="1">ROUND(C49*F50,0)</f>
        <v>48942356</v>
      </c>
      <c r="D51" s="232"/>
      <c r="E51" s="232"/>
      <c r="F51" s="264"/>
      <c r="G51" s="234" t="s">
        <v>1557</v>
      </c>
    </row>
    <row r="52" spans="1:7" s="208" customFormat="1" ht="16.5" thickBot="1">
      <c r="A52" s="265" t="s">
        <v>1558</v>
      </c>
      <c r="B52" s="266"/>
      <c r="C52" s="267">
        <f ca="1">C31+C51</f>
        <v>144304380</v>
      </c>
      <c r="D52" s="266"/>
      <c r="E52" s="266"/>
      <c r="F52" s="266"/>
      <c r="G52" s="268"/>
    </row>
    <row r="55" spans="1:7" ht="15">
      <c r="B55" s="270" t="s">
        <v>1559</v>
      </c>
      <c r="C55" s="271"/>
    </row>
    <row r="56" spans="1:7">
      <c r="B56" s="273" t="s">
        <v>801</v>
      </c>
      <c r="C56" s="275">
        <f ca="1">1-C57</f>
        <v>0.66100000000000003</v>
      </c>
    </row>
    <row r="57" spans="1:7">
      <c r="B57" s="273" t="s">
        <v>802</v>
      </c>
      <c r="C57" s="274">
        <f ca="1">ROUND(C51/C52,3)</f>
        <v>0.33900000000000002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7" sqref="C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877</v>
      </c>
      <c r="B2" s="3421" t="e">
        <f ca="1">ROUND(D2/10000,4)</f>
        <v>#N/A</v>
      </c>
      <c r="C2" s="1383" t="s">
        <v>878</v>
      </c>
      <c r="D2" s="1467" t="e">
        <f ca="1">C40+J29+L46</f>
        <v>#N/A</v>
      </c>
      <c r="E2" s="1384" t="s">
        <v>879</v>
      </c>
      <c r="F2" s="1385"/>
      <c r="G2" s="2702"/>
      <c r="H2" s="2691"/>
      <c r="I2" s="2691"/>
      <c r="J2" s="2691"/>
      <c r="K2" s="2692"/>
      <c r="L2" s="2691"/>
      <c r="M2" s="2691"/>
    </row>
    <row r="3" spans="1:37" ht="18" customHeight="1" thickBot="1">
      <c r="A3" s="1386" t="s">
        <v>880</v>
      </c>
      <c r="B3" s="1387">
        <f ca="1">IF(ISERROR(D2/F43),0,ROUND(D2/F43,0))</f>
        <v>0</v>
      </c>
      <c r="C3" s="1383" t="s">
        <v>881</v>
      </c>
      <c r="D3" s="1383"/>
      <c r="E3" s="1384"/>
      <c r="F3" s="1385"/>
      <c r="G3" s="2702"/>
      <c r="H3" s="682" t="s">
        <v>875</v>
      </c>
      <c r="I3" s="1378"/>
      <c r="J3" s="1378"/>
      <c r="K3" s="1379"/>
      <c r="L3" s="1378"/>
      <c r="M3" s="1378"/>
    </row>
    <row r="4" spans="1:37" ht="18" customHeight="1">
      <c r="A4" s="295" t="s">
        <v>882</v>
      </c>
      <c r="B4" s="296" t="s">
        <v>883</v>
      </c>
      <c r="C4" s="296" t="s">
        <v>884</v>
      </c>
      <c r="D4" s="296" t="s">
        <v>885</v>
      </c>
      <c r="E4" s="297" t="s">
        <v>886</v>
      </c>
      <c r="F4" s="298"/>
      <c r="G4" s="1380"/>
      <c r="H4" s="295" t="s">
        <v>882</v>
      </c>
      <c r="I4" s="296" t="s">
        <v>883</v>
      </c>
      <c r="J4" s="296" t="s">
        <v>884</v>
      </c>
      <c r="K4" s="296" t="s">
        <v>885</v>
      </c>
      <c r="L4" s="297" t="s">
        <v>886</v>
      </c>
      <c r="M4" s="298"/>
    </row>
    <row r="5" spans="1:37" ht="18" customHeight="1">
      <c r="A5" s="299">
        <v>1</v>
      </c>
      <c r="B5" s="300" t="s">
        <v>887</v>
      </c>
      <c r="C5" s="1066" t="e">
        <f ca="1">C6+C10+C12</f>
        <v>#N/A</v>
      </c>
      <c r="D5" s="1360" t="s">
        <v>888</v>
      </c>
      <c r="E5" s="1067"/>
      <c r="F5" s="1068"/>
      <c r="G5" s="1380"/>
      <c r="H5" s="299">
        <v>1</v>
      </c>
      <c r="I5" s="300" t="s">
        <v>887</v>
      </c>
      <c r="J5" s="1066" t="e">
        <f ca="1">J6+J10+J12</f>
        <v>#N/A</v>
      </c>
      <c r="K5" s="1360" t="s">
        <v>888</v>
      </c>
      <c r="L5" s="1067"/>
      <c r="M5" s="1068"/>
    </row>
    <row r="6" spans="1:37" ht="18" customHeight="1">
      <c r="A6" s="1065" t="s">
        <v>397</v>
      </c>
      <c r="B6" s="3705" t="s">
        <v>693</v>
      </c>
      <c r="C6" s="1070" t="e">
        <f ca="1">ROUND(F6*F8*F7*(1-F9),0)</f>
        <v>#N/A</v>
      </c>
      <c r="D6" s="155" t="s">
        <v>2101</v>
      </c>
      <c r="E6" s="302" t="s">
        <v>695</v>
      </c>
      <c r="F6" s="303" t="e">
        <f ca="1">INDIRECT("'数据-取费表'!u"&amp;$G$1)</f>
        <v>#N/A</v>
      </c>
      <c r="G6" s="1380"/>
      <c r="H6" s="1065" t="s">
        <v>397</v>
      </c>
      <c r="I6" s="3705" t="s">
        <v>693</v>
      </c>
      <c r="J6" s="301" t="e">
        <f ca="1">ROUND(M6*M8*M7*(1-M9),0)</f>
        <v>#N/A</v>
      </c>
      <c r="K6" s="1372" t="s">
        <v>2102</v>
      </c>
      <c r="L6" s="302" t="s">
        <v>695</v>
      </c>
      <c r="M6" s="303" t="e">
        <f ca="1">INDIRECT("'数据-取费表'!z"&amp;$G$1)</f>
        <v>#N/A</v>
      </c>
    </row>
    <row r="7" spans="1:37" ht="18" customHeight="1">
      <c r="A7" s="1069"/>
      <c r="B7" s="3706"/>
      <c r="C7" s="1071"/>
      <c r="D7" s="307"/>
      <c r="E7" s="1072" t="s">
        <v>696</v>
      </c>
      <c r="F7" s="303" t="e">
        <f ca="1">IF(INDIRECT("'数据-取费表'!ah"&amp;$G$1)="",INDIRECT("'数据-取费表'!k"&amp;$G$1),INDIRECT("'数据-取费表'!ah"&amp;$G$1))</f>
        <v>#N/A</v>
      </c>
      <c r="G7" s="1380"/>
      <c r="H7" s="304"/>
      <c r="I7" s="3706"/>
      <c r="J7" s="306"/>
      <c r="K7" s="307"/>
      <c r="L7" s="302" t="s">
        <v>696</v>
      </c>
      <c r="M7" s="303" t="e">
        <f ca="1">F7</f>
        <v>#N/A</v>
      </c>
    </row>
    <row r="8" spans="1:37" ht="18" customHeight="1">
      <c r="A8" s="304"/>
      <c r="B8" s="3706"/>
      <c r="C8" s="306"/>
      <c r="D8" s="307"/>
      <c r="E8" s="302" t="s">
        <v>697</v>
      </c>
      <c r="F8" s="303" t="e">
        <f ca="1">INDIRECT("'数据-取费表'!ai"&amp;$G$1)</f>
        <v>#N/A</v>
      </c>
      <c r="G8" s="1380"/>
      <c r="H8" s="304"/>
      <c r="I8" s="3706"/>
      <c r="J8" s="306"/>
      <c r="K8" s="307"/>
      <c r="L8" s="302" t="s">
        <v>697</v>
      </c>
      <c r="M8" s="303" t="e">
        <f ca="1">INDIRECT("'数据-取费表'!ai"&amp;$G$1)</f>
        <v>#N/A</v>
      </c>
    </row>
    <row r="9" spans="1:37" ht="18" customHeight="1">
      <c r="A9" s="304"/>
      <c r="B9" s="3707"/>
      <c r="C9" s="306"/>
      <c r="D9" s="307"/>
      <c r="E9" s="302" t="s">
        <v>698</v>
      </c>
      <c r="F9" s="312" t="e">
        <f ca="1">INDIRECT("'数据-取费表'!w"&amp;$G$1)</f>
        <v>#N/A</v>
      </c>
      <c r="G9" s="1380"/>
      <c r="H9" s="304"/>
      <c r="I9" s="3707"/>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2111</v>
      </c>
      <c r="E10" s="313" t="s">
        <v>700</v>
      </c>
      <c r="F10" s="1112" t="s">
        <v>3428</v>
      </c>
      <c r="G10" s="1380"/>
      <c r="H10" s="1065" t="s">
        <v>401</v>
      </c>
      <c r="I10" s="1361" t="s">
        <v>699</v>
      </c>
      <c r="J10" s="301">
        <f ca="1">ROUND(IF(M10="押一",J6/12*M11,IF(M10="押二",J6/12*2*M11,IF(M10="押三",J6/12*3*M11,J11*M11))),0)</f>
        <v>0</v>
      </c>
      <c r="K10" s="1373" t="s">
        <v>2113</v>
      </c>
      <c r="L10" s="313" t="s">
        <v>700</v>
      </c>
      <c r="M10" s="1112"/>
    </row>
    <row r="11" spans="1:37" ht="18" customHeight="1">
      <c r="A11" s="308"/>
      <c r="B11" s="1363" t="s">
        <v>889</v>
      </c>
      <c r="C11" s="955"/>
      <c r="D11" s="307"/>
      <c r="E11" s="313" t="s">
        <v>701</v>
      </c>
      <c r="F11" s="314">
        <f ca="1">'数据-取费表'!B39</f>
        <v>1.4999999999999999E-2</v>
      </c>
      <c r="G11" s="1380"/>
      <c r="H11" s="1073"/>
      <c r="I11" s="1363" t="s">
        <v>890</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1077" t="s">
        <v>704</v>
      </c>
      <c r="E13" s="1077"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ROUND(INDIRECT("'数据-取费表'!l"&amp;$G$1)*F43+'数据-取费表'!L14*INDIRECT("'数据-取费表'!S"&amp;$G$1),0)</f>
        <v>#N/A</v>
      </c>
      <c r="D14" s="1341" t="s">
        <v>707</v>
      </c>
      <c r="E14" s="1338"/>
      <c r="F14" s="319"/>
      <c r="G14" s="1380"/>
      <c r="H14" s="978" t="s">
        <v>397</v>
      </c>
      <c r="I14" s="302" t="s">
        <v>708</v>
      </c>
      <c r="J14" s="21" t="e">
        <f ca="1">C29</f>
        <v>#N/A</v>
      </c>
      <c r="K14" s="12"/>
      <c r="L14" s="803"/>
      <c r="M14" s="804"/>
    </row>
    <row r="15" spans="1:37" s="1393" customFormat="1" ht="18" customHeight="1" thickBot="1">
      <c r="A15" s="978" t="s">
        <v>398</v>
      </c>
      <c r="B15" s="302" t="s">
        <v>709</v>
      </c>
      <c r="C15" s="21" t="e">
        <f ca="1">ROUND(C14*F15,0)</f>
        <v>#N/A</v>
      </c>
      <c r="D15" s="320" t="s">
        <v>710</v>
      </c>
      <c r="E15" s="320" t="s">
        <v>711</v>
      </c>
      <c r="F15" s="321">
        <f>'数据-取费表'!B33</f>
        <v>0.03</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ROUND(INDIRECT("'数据-取费表'!l"&amp;$G$1)*F43*F16,0)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1084"/>
      <c r="M16" s="1068"/>
    </row>
    <row r="17" spans="1:37" s="1393" customFormat="1" ht="18" customHeight="1">
      <c r="A17" s="978" t="s">
        <v>680</v>
      </c>
      <c r="B17" s="302" t="s">
        <v>715</v>
      </c>
      <c r="C17" s="21" t="e">
        <f ca="1">ROUND(F17*(F43+INDIRECT("'数据-取费表'!S"&amp;$G$1)),0)</f>
        <v>#N/A</v>
      </c>
      <c r="D17" s="302" t="s">
        <v>716</v>
      </c>
      <c r="E17" s="302" t="s">
        <v>717</v>
      </c>
      <c r="F17" s="23">
        <f>'数据-取费表'!B35</f>
        <v>200</v>
      </c>
      <c r="G17" s="1392"/>
      <c r="H17" s="978" t="s">
        <v>397</v>
      </c>
      <c r="I17" s="302" t="s">
        <v>718</v>
      </c>
      <c r="J17" s="2312" t="e">
        <f ca="1">ROUND(IF(AND(项目基本情况!B11="自然人",项目基本情况!B10="北京市"),J6*M17/(1+'数据-取费表'!C42),J18+J19+J20),0)</f>
        <v>#N/A</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ROUND(J6*M18/(1+'数据-取费表'!C42),0)</f>
        <v>#N/A</v>
      </c>
      <c r="K18" s="1340" t="s">
        <v>723</v>
      </c>
      <c r="L18" s="302" t="s">
        <v>711</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1356"/>
      <c r="F19" s="23"/>
      <c r="G19" s="1380"/>
      <c r="H19" s="978" t="s">
        <v>398</v>
      </c>
      <c r="I19" s="302" t="s">
        <v>726</v>
      </c>
      <c r="J19" s="21" t="e">
        <f ca="1">IF(K19="按租金收入计税",ROUND(J6*M19/(1+'数据-取费表'!C42),0),ROUND(C29*M19*0.7,0))</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323" t="s">
        <v>728</v>
      </c>
      <c r="E20" s="302" t="s">
        <v>711</v>
      </c>
      <c r="F20" s="322">
        <f>'数据-取费表'!B37</f>
        <v>0.02</v>
      </c>
      <c r="G20" s="1392"/>
      <c r="H20" s="978" t="s">
        <v>679</v>
      </c>
      <c r="I20" s="155" t="s">
        <v>729</v>
      </c>
      <c r="J20" s="22" t="e">
        <f ca="1">ROUND(M20*M21,0)</f>
        <v>#N/A</v>
      </c>
      <c r="K20" s="324" t="s">
        <v>730</v>
      </c>
      <c r="L20" s="302" t="s">
        <v>731</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323"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t="e">
        <f ca="1">ROUND(J14*M22,0)</f>
        <v>#N/A</v>
      </c>
      <c r="K22" s="1340"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1.5</v>
      </c>
      <c r="G23" s="1392"/>
      <c r="H23" s="978" t="s">
        <v>436</v>
      </c>
      <c r="I23" s="302" t="s">
        <v>741</v>
      </c>
      <c r="J23" s="21" t="e">
        <f ca="1">ROUND(J13*M23,0)</f>
        <v>#N/A</v>
      </c>
      <c r="K23" s="1340"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5.0000000000000001E-4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ROUND(J5*M24,0)</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748</v>
      </c>
      <c r="B25" s="302" t="s">
        <v>749</v>
      </c>
      <c r="C25" s="21"/>
      <c r="D25" s="131" t="s">
        <v>750</v>
      </c>
      <c r="E25" s="1356"/>
      <c r="F25" s="23"/>
      <c r="G25" s="1380"/>
      <c r="H25" s="1075" t="s">
        <v>393</v>
      </c>
      <c r="I25" s="1090" t="s">
        <v>751</v>
      </c>
      <c r="J25" s="310" t="e">
        <f ca="1">J5-J16</f>
        <v>#N/A</v>
      </c>
      <c r="K25" s="1091" t="s">
        <v>752</v>
      </c>
      <c r="L25" s="1092"/>
      <c r="M25" s="1093"/>
    </row>
    <row r="26" spans="1:37" ht="18" customHeight="1">
      <c r="A26" s="978" t="s">
        <v>396</v>
      </c>
      <c r="B26" s="302" t="s">
        <v>753</v>
      </c>
      <c r="C26" s="21" t="e">
        <f ca="1">ROUND((C19+C20)*F26,0)</f>
        <v>#N/A</v>
      </c>
      <c r="D26" s="323"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323" t="s">
        <v>760</v>
      </c>
      <c r="E27" s="320"/>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5.2400000000000002E-2</v>
      </c>
      <c r="D28" s="323" t="s">
        <v>764</v>
      </c>
      <c r="E28" s="302" t="s">
        <v>711</v>
      </c>
      <c r="F28" s="322">
        <f>'数据-取费表'!B41</f>
        <v>5.5000000000000007E-2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108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ROUND(IF(AND(项目基本情况!B11="自然人",项目基本情况!B10="北京市"),C6*F31/(1+'数据-取费表'!C42),C32+C33+C34),0)</f>
        <v>#N/A</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IF(项目基本情况!B11="自然人","——",ROUND(C6*F32/(1+'数据-取费表'!C42),0))</f>
        <v>#N/A</v>
      </c>
      <c r="D32" s="1340" t="s">
        <v>723</v>
      </c>
      <c r="E32" s="302" t="s">
        <v>711</v>
      </c>
      <c r="F32" s="331">
        <f>'数据-取费表'!B41</f>
        <v>5.5000000000000007E-2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IF(项目基本情况!B11="自然人","——",IF(D33="按租金收入计税",ROUND(C6*F33/(1+'数据-取费表'!C42),0),IF(D33="按房产原值计税",ROUND(C29*F33*0.7,0),INDIRECT("'数据-取费表'!Aj"&amp;$G$1))))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IF(项目基本情况!B11="自然人","——",ROUND(F34*F35,0))</f>
        <v>#N/A</v>
      </c>
      <c r="D34" s="324" t="s">
        <v>730</v>
      </c>
      <c r="E34" s="302" t="s">
        <v>731</v>
      </c>
      <c r="F34" s="325">
        <f>'数据-取费表'!B52</f>
        <v>1.5</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ROUND(C29*F36,0)</f>
        <v>#N/A</v>
      </c>
      <c r="D36" s="1340"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ROUND(C13*F37,0)</f>
        <v>#N/A</v>
      </c>
      <c r="D37" s="1340"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ROUND(C5*F38,0)</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772</v>
      </c>
      <c r="E39" s="1092"/>
      <c r="F39" s="1093"/>
      <c r="G39" s="1380"/>
      <c r="H39" s="2696"/>
      <c r="I39" s="1394"/>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6" t="s">
        <v>3349</v>
      </c>
      <c r="B45" s="1396"/>
      <c r="C45" s="1468" t="e">
        <f ca="1">ROUND((C68-C40)/10000,4)</f>
        <v>#N/A</v>
      </c>
      <c r="D45" s="3427" t="s">
        <v>3350</v>
      </c>
      <c r="E45" s="1396"/>
      <c r="F45" s="1396"/>
      <c r="O45" s="1399" t="s">
        <v>807</v>
      </c>
      <c r="P45" s="1457"/>
      <c r="Q45" s="1457"/>
      <c r="R45" s="1457"/>
    </row>
    <row r="46" spans="1:18" s="1380" customFormat="1" ht="13.5" thickBot="1">
      <c r="A46" s="1400" t="s">
        <v>808</v>
      </c>
      <c r="C46" s="1401" t="e">
        <f ca="1">ROUND(C45,0)</f>
        <v>#N/A</v>
      </c>
      <c r="D46" s="1402" t="str">
        <f>C2</f>
        <v>万元</v>
      </c>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974"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1355"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ROUND(F49*F51*F50*(1-F52),0)</f>
        <v>#N/A</v>
      </c>
      <c r="D49" s="1051" t="s">
        <v>694</v>
      </c>
      <c r="E49" s="1368" t="s">
        <v>779</v>
      </c>
      <c r="F49" s="1056"/>
      <c r="G49" s="1421"/>
      <c r="H49" s="722"/>
      <c r="I49" s="1417" t="s">
        <v>822</v>
      </c>
      <c r="J49" s="1422">
        <f>'数据-取费表'!N17</f>
        <v>1995</v>
      </c>
      <c r="K49" s="1419" t="s">
        <v>823</v>
      </c>
      <c r="L49" s="1423"/>
      <c r="O49" s="1424" t="s">
        <v>404</v>
      </c>
      <c r="P49" s="1415" t="s">
        <v>824</v>
      </c>
      <c r="Q49" s="1416" t="e">
        <f ca="1">C29</f>
        <v>#N/A</v>
      </c>
      <c r="R49" s="1416" t="s">
        <v>817</v>
      </c>
    </row>
    <row r="50" spans="1:18" s="1380" customFormat="1" ht="13.5" thickBot="1">
      <c r="A50" s="972"/>
      <c r="B50" s="975"/>
      <c r="C50" s="976"/>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31</v>
      </c>
      <c r="K51" s="1430" t="s">
        <v>829</v>
      </c>
      <c r="L51" s="1431" t="e">
        <f ca="1">ROUND(-PV(INDIRECT("'数据-取费表'!h"&amp;$G$1),J51,(C39-C13*C76),0),0)</f>
        <v>#N/A</v>
      </c>
      <c r="M51" s="1432"/>
      <c r="O51" s="1424" t="s">
        <v>406</v>
      </c>
      <c r="P51" s="1415" t="s">
        <v>830</v>
      </c>
      <c r="Q51" s="1427">
        <f>J52</f>
        <v>7.5000000000000011E-2</v>
      </c>
      <c r="R51" s="1416"/>
    </row>
    <row r="52" spans="1:18" s="1380" customFormat="1" ht="13.5" thickBot="1">
      <c r="A52" s="973"/>
      <c r="B52" s="975"/>
      <c r="C52" s="976"/>
      <c r="D52" s="949"/>
      <c r="E52" s="977" t="s">
        <v>698</v>
      </c>
      <c r="F52" s="1050"/>
      <c r="I52" s="1433" t="s">
        <v>831</v>
      </c>
      <c r="J52" s="1434">
        <f>'数据-取费表'!J6+0.5%</f>
        <v>7.5000000000000011E-2</v>
      </c>
      <c r="K52" s="1433" t="s">
        <v>832</v>
      </c>
      <c r="L52" s="1434"/>
      <c r="O52" s="1424" t="s">
        <v>407</v>
      </c>
      <c r="P52" s="1415" t="s">
        <v>833</v>
      </c>
      <c r="Q52" s="1416" t="e">
        <f ca="1">J53</f>
        <v>#N/A</v>
      </c>
      <c r="R52" s="1416" t="s">
        <v>834</v>
      </c>
    </row>
    <row r="53" spans="1:18" s="1380" customFormat="1" ht="30.75" customHeight="1" thickBot="1">
      <c r="A53" s="1107" t="s">
        <v>439</v>
      </c>
      <c r="B53" s="323" t="s">
        <v>699</v>
      </c>
      <c r="C53" s="316">
        <f ca="1">ROUND(IF(F53="押一",C49/12*F11,IF(F53="押二",C49/12*2*F11,IF(F53="押三",C49/12*3*F11,C54*F11))),0)</f>
        <v>0</v>
      </c>
      <c r="D53" s="1362" t="s">
        <v>2114</v>
      </c>
      <c r="E53" s="313" t="s">
        <v>700</v>
      </c>
      <c r="F53" s="1112"/>
      <c r="I53" s="1435" t="s">
        <v>835</v>
      </c>
      <c r="J53" s="2164" t="e">
        <f ca="1">IF(M47="住宅",IF(D1="——",MAX(J51,L48),MAX(J51,L48-'数据-取费表'!B24)),IF(D1="——",MIN(J51,L48),MIN(J51,L48-'数据-取费表'!B24)))</f>
        <v>#N/A</v>
      </c>
      <c r="K53" s="3708" t="s">
        <v>836</v>
      </c>
      <c r="L53" s="3709"/>
      <c r="O53" s="1414" t="s">
        <v>408</v>
      </c>
      <c r="P53" s="1415" t="s">
        <v>837</v>
      </c>
      <c r="Q53" s="1416" t="e">
        <f ca="1">Q47+Q48</f>
        <v>#N/A</v>
      </c>
      <c r="R53" s="1416" t="s">
        <v>409</v>
      </c>
    </row>
    <row r="54" spans="1:18" s="1380" customFormat="1" ht="13.5" thickBot="1">
      <c r="A54" s="971"/>
      <c r="B54" s="1469" t="s">
        <v>890</v>
      </c>
      <c r="C54" s="955"/>
      <c r="D54" s="1362"/>
      <c r="E54" s="1370"/>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t="e">
        <f ca="1">ROUND(IF(J47="钢混",J57/J50,1-(1-2%)*(J50-J57)/J50),3)</f>
        <v>#N/A</v>
      </c>
      <c r="K55" s="1441" t="s">
        <v>840</v>
      </c>
      <c r="L55" s="1442"/>
      <c r="O55" s="1407" t="s">
        <v>810</v>
      </c>
      <c r="P55" s="1408" t="s">
        <v>811</v>
      </c>
      <c r="Q55" s="1409" t="s">
        <v>812</v>
      </c>
      <c r="R55" s="1409" t="s">
        <v>813</v>
      </c>
    </row>
    <row r="56" spans="1:18" s="1380" customFormat="1" ht="36" customHeight="1" thickTop="1" thickBot="1">
      <c r="A56" s="953">
        <v>2</v>
      </c>
      <c r="B56" s="954" t="s">
        <v>703</v>
      </c>
      <c r="C56" s="232" t="e">
        <f ca="1">C13</f>
        <v>#N/A</v>
      </c>
      <c r="D56" s="1443"/>
      <c r="E56" s="1444"/>
      <c r="F56" s="1436"/>
      <c r="I56" s="1445" t="s">
        <v>841</v>
      </c>
      <c r="J56" s="1446" t="s">
        <v>3380</v>
      </c>
      <c r="K56" s="1417" t="s">
        <v>842</v>
      </c>
      <c r="L56" s="1420" t="e">
        <f ca="1">IF(L48&lt;J51,"——",L48-J51)</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891</v>
      </c>
      <c r="L57" s="1420" t="e">
        <f ca="1">IF(L48&lt;J51,"——",IF(L55="比较法",L49,IF(L55="基准地价",L50,L51)))</f>
        <v>#N/A</v>
      </c>
      <c r="O57" s="1414" t="s">
        <v>403</v>
      </c>
      <c r="P57" s="1415" t="s">
        <v>892</v>
      </c>
      <c r="Q57" s="1416" t="e">
        <f ca="1">L60</f>
        <v>#N/A</v>
      </c>
      <c r="R57" s="1416" t="s">
        <v>893</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894</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IF(项目基本情况!B11="自然人","——",ROUND(C48*F60/(1+'数据-取费表'!C42),0))</f>
        <v>#N/A</v>
      </c>
      <c r="D60" s="960" t="s">
        <v>723</v>
      </c>
      <c r="E60" s="946" t="s">
        <v>711</v>
      </c>
      <c r="F60" s="331">
        <f t="shared" ref="F60:F66" si="0">F32</f>
        <v>5.5000000000000007E-2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781</v>
      </c>
      <c r="C61" s="21" t="e">
        <f ca="1">IF(项目基本情况!B11="自然人","——",IF(D61="按租金收入计税",ROUND(C49*F61/(1+'数据-取费表'!C42),0),IF(D61="按房产原值计税",ROUND(C57*F61*0.7,0),INDIRECT("'数据-取费表'!Aj"&amp;$G$1))))</f>
        <v>#N/A</v>
      </c>
      <c r="D61" s="1366" t="s">
        <v>3333</v>
      </c>
      <c r="E61" s="946" t="s">
        <v>782</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784</v>
      </c>
      <c r="C62" s="22" t="e">
        <f ca="1">IF(项目基本情况!B11="自然人","——",ROUND(F62*F63,0))</f>
        <v>#N/A</v>
      </c>
      <c r="D62" s="961" t="s">
        <v>785</v>
      </c>
      <c r="E62" s="946" t="s">
        <v>786</v>
      </c>
      <c r="F62" s="325">
        <f t="shared" si="0"/>
        <v>1.5</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t="e">
        <f ca="1">ROUND(C57*F64,0)</f>
        <v>#N/A</v>
      </c>
      <c r="D64" s="960" t="s">
        <v>790</v>
      </c>
      <c r="E64" s="946" t="s">
        <v>782</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ROUND(C56*F65,0)</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ROUND(C48*F66,0)</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8" t="s">
        <v>3356</v>
      </c>
      <c r="E2" s="3439"/>
      <c r="F2" s="2842"/>
      <c r="G2" s="2843"/>
      <c r="H2" s="2844"/>
      <c r="I2" s="2845"/>
      <c r="J2" s="3762" t="s">
        <v>2316</v>
      </c>
      <c r="K2" s="3763"/>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64" t="s">
        <v>2326</v>
      </c>
      <c r="K3" s="3765"/>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64" t="s">
        <v>2328</v>
      </c>
      <c r="K4" s="3765"/>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70" t="s">
        <v>2332</v>
      </c>
      <c r="B6" s="3771"/>
      <c r="C6" s="3772"/>
      <c r="D6" s="2866"/>
      <c r="E6" s="2867"/>
      <c r="F6" s="2868"/>
      <c r="G6" s="2869"/>
      <c r="H6" s="2844"/>
      <c r="I6" s="2845"/>
      <c r="J6" s="3756">
        <v>1</v>
      </c>
      <c r="K6" s="3757"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56"/>
      <c r="K7" s="3758"/>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73" t="s">
        <v>2346</v>
      </c>
      <c r="C8" s="3774"/>
      <c r="D8" s="2885" t="s">
        <v>2347</v>
      </c>
      <c r="E8" s="2886" t="s">
        <v>2348</v>
      </c>
      <c r="F8" s="2887" t="s">
        <v>2349</v>
      </c>
      <c r="G8" s="2888"/>
      <c r="H8" s="2844"/>
      <c r="I8" s="2845"/>
      <c r="J8" s="3756"/>
      <c r="K8" s="3758"/>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73" t="s">
        <v>2352</v>
      </c>
      <c r="C9" s="3774"/>
      <c r="D9" s="2885">
        <f>ROUND(D6*E9,0)</f>
        <v>0</v>
      </c>
      <c r="E9" s="2889"/>
      <c r="F9" s="2890" t="s">
        <v>2353</v>
      </c>
      <c r="G9" s="2869"/>
      <c r="H9" s="2844"/>
      <c r="I9" s="2845"/>
      <c r="J9" s="3756"/>
      <c r="K9" s="3758"/>
      <c r="L9" s="2879" t="s">
        <v>2354</v>
      </c>
      <c r="M9" s="2880"/>
      <c r="N9" s="2856"/>
      <c r="O9" s="2881"/>
      <c r="P9" s="2881"/>
      <c r="Q9" s="2882">
        <v>365</v>
      </c>
      <c r="R9" s="2883">
        <f t="shared" si="0"/>
        <v>0</v>
      </c>
      <c r="S9" s="2837"/>
      <c r="T9" s="2837"/>
      <c r="U9" s="2837"/>
      <c r="V9" s="2845"/>
    </row>
    <row r="10" spans="1:22" s="2849" customFormat="1" ht="13.15" customHeight="1">
      <c r="A10" s="2884">
        <v>2</v>
      </c>
      <c r="B10" s="3773" t="s">
        <v>2355</v>
      </c>
      <c r="C10" s="3774"/>
      <c r="D10" s="2885">
        <f>ROUND(D6*E10,0)</f>
        <v>0</v>
      </c>
      <c r="E10" s="2889"/>
      <c r="F10" s="2890" t="s">
        <v>2356</v>
      </c>
      <c r="G10" s="2869"/>
      <c r="H10" s="2844"/>
      <c r="I10" s="2845"/>
      <c r="J10" s="3756"/>
      <c r="K10" s="3758"/>
      <c r="L10" s="2879" t="s">
        <v>2357</v>
      </c>
      <c r="M10" s="2880"/>
      <c r="N10" s="2856"/>
      <c r="O10" s="2881"/>
      <c r="P10" s="2881"/>
      <c r="Q10" s="2882">
        <v>365</v>
      </c>
      <c r="R10" s="2883">
        <f t="shared" si="0"/>
        <v>0</v>
      </c>
      <c r="S10" s="2837"/>
      <c r="T10" s="2837"/>
      <c r="U10" s="2837"/>
      <c r="V10" s="2845"/>
    </row>
    <row r="11" spans="1:22" s="2849" customFormat="1" ht="13.15" customHeight="1">
      <c r="A11" s="2884">
        <v>3</v>
      </c>
      <c r="B11" s="3773" t="s">
        <v>2358</v>
      </c>
      <c r="C11" s="3774"/>
      <c r="D11" s="2885">
        <f>D12+D14+D15+D16</f>
        <v>0</v>
      </c>
      <c r="E11" s="2891" t="e">
        <f>D11/D6</f>
        <v>#DIV/0!</v>
      </c>
      <c r="F11" s="2887"/>
      <c r="G11" s="2888"/>
      <c r="H11" s="2844"/>
      <c r="I11" s="2845"/>
      <c r="J11" s="3756"/>
      <c r="K11" s="3758"/>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66" t="s">
        <v>2361</v>
      </c>
      <c r="C12" s="3767"/>
      <c r="D12" s="2893">
        <f>ROUND(D13*1.2%*(1-30%),0)</f>
        <v>0</v>
      </c>
      <c r="E12" s="2894">
        <v>1.2E-2</v>
      </c>
      <c r="F12" s="2887" t="s">
        <v>2362</v>
      </c>
      <c r="G12" s="2888"/>
      <c r="H12" s="2844"/>
      <c r="I12" s="2845"/>
      <c r="J12" s="3756"/>
      <c r="K12" s="3758"/>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56"/>
      <c r="K13" s="3758"/>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66" t="s">
        <v>2367</v>
      </c>
      <c r="C14" s="3767"/>
      <c r="D14" s="2893">
        <f>ROUND(E14*B5/10000,0)</f>
        <v>0</v>
      </c>
      <c r="E14" s="2882"/>
      <c r="F14" s="2887" t="s">
        <v>2368</v>
      </c>
      <c r="G14" s="2888"/>
      <c r="H14" s="2844"/>
      <c r="I14" s="2845"/>
      <c r="J14" s="3756"/>
      <c r="K14" s="3759"/>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66" t="s">
        <v>2371</v>
      </c>
      <c r="C15" s="3767"/>
      <c r="D15" s="2893">
        <f>ROUND(D6*E15,0)</f>
        <v>0</v>
      </c>
      <c r="E15" s="2894">
        <v>5.5E-2</v>
      </c>
      <c r="F15" s="2887" t="s">
        <v>2372</v>
      </c>
      <c r="G15" s="2869"/>
      <c r="H15" s="2844"/>
      <c r="I15" s="2845"/>
      <c r="J15" s="3756">
        <v>2</v>
      </c>
      <c r="K15" s="3757"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66" t="s">
        <v>2380</v>
      </c>
      <c r="C16" s="3767"/>
      <c r="D16" s="2904">
        <f>D6*E16</f>
        <v>0</v>
      </c>
      <c r="E16" s="2905"/>
      <c r="F16" s="2890" t="s">
        <v>2381</v>
      </c>
      <c r="G16" s="2869"/>
      <c r="H16" s="2844"/>
      <c r="I16" s="2845"/>
      <c r="J16" s="3756"/>
      <c r="K16" s="3758"/>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68" t="s">
        <v>2383</v>
      </c>
      <c r="C17" s="3769"/>
      <c r="D17" s="2907">
        <f>ROUND(D6*E17,0)</f>
        <v>0</v>
      </c>
      <c r="E17" s="2908"/>
      <c r="F17" s="2909" t="s">
        <v>2384</v>
      </c>
      <c r="G17" s="2869"/>
      <c r="H17" s="2844"/>
      <c r="I17" s="2845"/>
      <c r="J17" s="3756"/>
      <c r="K17" s="3758"/>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56"/>
      <c r="K18" s="3758"/>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56"/>
      <c r="K19" s="3759"/>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6">
        <v>3</v>
      </c>
      <c r="K20" s="3757"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56"/>
      <c r="K21" s="3758"/>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56"/>
      <c r="K22" s="3758"/>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56"/>
      <c r="K23" s="3758"/>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56"/>
      <c r="K24" s="3759"/>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60">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61"/>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62" t="s">
        <v>2316</v>
      </c>
      <c r="K32" s="3763"/>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64" t="s">
        <v>2326</v>
      </c>
      <c r="K33" s="3765"/>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64" t="s">
        <v>2328</v>
      </c>
      <c r="K34" s="376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56">
        <v>1</v>
      </c>
      <c r="K36" s="3757"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56"/>
      <c r="K37" s="3758"/>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6"/>
      <c r="K38" s="3758"/>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56"/>
      <c r="K39" s="3758"/>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56"/>
      <c r="K40" s="3759"/>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0">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61"/>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684</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685</v>
      </c>
      <c r="B3" s="353">
        <f>IF(C2="——",C49,ROUND(B2*10000/D3,0))</f>
        <v>0</v>
      </c>
      <c r="C3" s="354" t="s">
        <v>1662</v>
      </c>
      <c r="D3" s="353">
        <f>IF(D1="",'数据-汇总表'!E3,SUMIF('数据-汇总表'!$C19:$C33,D1,'数据-汇总表'!$E19:$E33))</f>
        <v>20228.239999999998</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1663</v>
      </c>
      <c r="B4" s="356"/>
      <c r="C4" s="3729" t="s">
        <v>1664</v>
      </c>
      <c r="D4" s="3730"/>
      <c r="E4" s="3731" t="s">
        <v>1665</v>
      </c>
      <c r="F4" s="3732"/>
      <c r="G4" s="3729" t="s">
        <v>1666</v>
      </c>
      <c r="H4" s="3730"/>
      <c r="I4" s="3729" t="s">
        <v>1667</v>
      </c>
      <c r="J4" s="3730"/>
      <c r="K4" s="1885" t="s">
        <v>1668</v>
      </c>
      <c r="L4" s="2711"/>
      <c r="M4" s="2712"/>
      <c r="N4" s="2712"/>
      <c r="O4" s="2712"/>
      <c r="P4" s="3733" t="s">
        <v>1669</v>
      </c>
      <c r="Q4" s="3734"/>
      <c r="R4" s="3739" t="s">
        <v>1665</v>
      </c>
      <c r="S4" s="3740"/>
      <c r="T4" s="3739" t="s">
        <v>1666</v>
      </c>
      <c r="U4" s="3740"/>
      <c r="V4" s="3724" t="s">
        <v>1667</v>
      </c>
      <c r="W4" s="3724"/>
      <c r="X4" s="1351"/>
      <c r="Y4" s="3739" t="s">
        <v>1669</v>
      </c>
      <c r="Z4" s="3740"/>
      <c r="AA4" s="3726" t="s">
        <v>1665</v>
      </c>
      <c r="AB4" s="3726" t="s">
        <v>1666</v>
      </c>
      <c r="AC4" s="3726" t="s">
        <v>1667</v>
      </c>
    </row>
    <row r="5" spans="1:29" ht="15">
      <c r="A5" s="358"/>
      <c r="B5" s="359"/>
      <c r="C5" s="3747" t="s">
        <v>1670</v>
      </c>
      <c r="D5" s="3748"/>
      <c r="E5" s="3754" t="s">
        <v>1671</v>
      </c>
      <c r="F5" s="3755"/>
      <c r="G5" s="3747" t="s">
        <v>1672</v>
      </c>
      <c r="H5" s="3748"/>
      <c r="I5" s="3747" t="s">
        <v>1673</v>
      </c>
      <c r="J5" s="3748"/>
      <c r="K5" s="1886"/>
      <c r="L5" s="2711"/>
      <c r="M5" s="2712"/>
      <c r="N5" s="2712"/>
      <c r="O5" s="2712"/>
      <c r="P5" s="3735"/>
      <c r="Q5" s="3736"/>
      <c r="R5" s="3741"/>
      <c r="S5" s="3742"/>
      <c r="T5" s="3741"/>
      <c r="U5" s="3742"/>
      <c r="V5" s="3724"/>
      <c r="W5" s="3724"/>
      <c r="X5" s="1351"/>
      <c r="Y5" s="3741"/>
      <c r="Z5" s="3742"/>
      <c r="AA5" s="3727"/>
      <c r="AB5" s="3727"/>
      <c r="AC5" s="3727"/>
    </row>
    <row r="6" spans="1:29" ht="15.75" thickBot="1">
      <c r="A6" s="360"/>
      <c r="B6" s="361"/>
      <c r="C6" s="3745" t="s">
        <v>1674</v>
      </c>
      <c r="D6" s="3746"/>
      <c r="E6" s="3752" t="s">
        <v>1674</v>
      </c>
      <c r="F6" s="3753"/>
      <c r="G6" s="3745" t="s">
        <v>1674</v>
      </c>
      <c r="H6" s="3746"/>
      <c r="I6" s="3745" t="s">
        <v>1674</v>
      </c>
      <c r="J6" s="3746"/>
      <c r="K6" s="1886" t="s">
        <v>1675</v>
      </c>
      <c r="L6" s="2711"/>
      <c r="M6" s="2712"/>
      <c r="N6" s="2712"/>
      <c r="O6" s="2712"/>
      <c r="P6" s="3737"/>
      <c r="Q6" s="3738"/>
      <c r="R6" s="3741"/>
      <c r="S6" s="3742"/>
      <c r="T6" s="3743"/>
      <c r="U6" s="3744"/>
      <c r="V6" s="3724"/>
      <c r="W6" s="3724"/>
      <c r="X6" s="1351"/>
      <c r="Y6" s="3743"/>
      <c r="Z6" s="3744"/>
      <c r="AA6" s="3728"/>
      <c r="AB6" s="3728"/>
      <c r="AC6" s="3728"/>
    </row>
    <row r="7" spans="1:29" s="108" customFormat="1" ht="15.75" thickBot="1">
      <c r="A7" s="362" t="s">
        <v>1676</v>
      </c>
      <c r="B7" s="363"/>
      <c r="C7" s="364">
        <f>'数据-取费表'!B2</f>
        <v>45467</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49" t="s">
        <v>1677</v>
      </c>
      <c r="Q7" s="3751"/>
      <c r="R7" s="700" t="s">
        <v>20</v>
      </c>
      <c r="S7" s="701">
        <f t="shared" ref="S7:S15" si="0">F7</f>
        <v>0</v>
      </c>
      <c r="T7" s="700" t="s">
        <v>20</v>
      </c>
      <c r="U7" s="701">
        <f t="shared" ref="U7:U15" si="1">H7</f>
        <v>0</v>
      </c>
      <c r="V7" s="700" t="s">
        <v>20</v>
      </c>
      <c r="W7" s="701">
        <f t="shared" ref="W7:W15" si="2">J7</f>
        <v>0</v>
      </c>
      <c r="X7" s="702"/>
      <c r="Y7" s="3749" t="s">
        <v>1677</v>
      </c>
      <c r="Z7" s="3750"/>
      <c r="AA7" s="703" t="e">
        <f>D7/F7</f>
        <v>#DIV/0!</v>
      </c>
      <c r="AB7" s="703" t="e">
        <f>D7/H7</f>
        <v>#DIV/0!</v>
      </c>
      <c r="AC7" s="703" t="e">
        <f>D7/J7</f>
        <v>#DIV/0!</v>
      </c>
    </row>
    <row r="8" spans="1:29" s="108" customFormat="1" ht="15.75" thickBot="1">
      <c r="A8" s="362" t="s">
        <v>1678</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49" t="s">
        <v>1680</v>
      </c>
      <c r="Q8" s="3750"/>
      <c r="R8" s="700" t="s">
        <v>20</v>
      </c>
      <c r="S8" s="701">
        <f t="shared" si="0"/>
        <v>100</v>
      </c>
      <c r="T8" s="700" t="s">
        <v>20</v>
      </c>
      <c r="U8" s="701">
        <f t="shared" si="1"/>
        <v>100</v>
      </c>
      <c r="V8" s="700" t="s">
        <v>20</v>
      </c>
      <c r="W8" s="701">
        <f t="shared" si="2"/>
        <v>100</v>
      </c>
      <c r="X8" s="702"/>
      <c r="Y8" s="3749" t="s">
        <v>1680</v>
      </c>
      <c r="Z8" s="3750"/>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5" t="s">
        <v>1683</v>
      </c>
      <c r="Q9" s="1339" t="str">
        <f t="shared" ref="Q9:Q15" si="6">B9</f>
        <v>用途</v>
      </c>
      <c r="R9" s="700" t="s">
        <v>14</v>
      </c>
      <c r="S9" s="701">
        <f t="shared" si="0"/>
        <v>100</v>
      </c>
      <c r="T9" s="700" t="s">
        <v>14</v>
      </c>
      <c r="U9" s="701">
        <f t="shared" si="1"/>
        <v>100</v>
      </c>
      <c r="V9" s="700" t="s">
        <v>14</v>
      </c>
      <c r="W9" s="701">
        <f t="shared" si="2"/>
        <v>100</v>
      </c>
      <c r="X9" s="702"/>
      <c r="Y9" s="360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87"/>
      <c r="L10" s="2715"/>
      <c r="M10" s="2716"/>
      <c r="N10" s="2716"/>
      <c r="O10" s="2716"/>
      <c r="P10" s="3725"/>
      <c r="Q10" s="1339" t="str">
        <f t="shared" si="6"/>
        <v>土地使用年限（年）</v>
      </c>
      <c r="R10" s="700" t="s">
        <v>14</v>
      </c>
      <c r="S10" s="701">
        <f t="shared" si="0"/>
        <v>100</v>
      </c>
      <c r="T10" s="700" t="s">
        <v>14</v>
      </c>
      <c r="U10" s="701">
        <f t="shared" si="1"/>
        <v>100</v>
      </c>
      <c r="V10" s="700" t="s">
        <v>14</v>
      </c>
      <c r="W10" s="701">
        <f t="shared" si="2"/>
        <v>100</v>
      </c>
      <c r="X10" s="702"/>
      <c r="Y10" s="3607"/>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5"/>
      <c r="Q11" s="1339" t="str">
        <f t="shared" si="6"/>
        <v>容积率</v>
      </c>
      <c r="R11" s="700" t="s">
        <v>18</v>
      </c>
      <c r="S11" s="701" t="e">
        <f t="shared" si="0"/>
        <v>#N/A</v>
      </c>
      <c r="T11" s="700" t="s">
        <v>18</v>
      </c>
      <c r="U11" s="701" t="e">
        <f t="shared" si="1"/>
        <v>#N/A</v>
      </c>
      <c r="V11" s="700" t="s">
        <v>18</v>
      </c>
      <c r="W11" s="701" t="e">
        <f t="shared" si="2"/>
        <v>#N/A</v>
      </c>
      <c r="X11" s="702"/>
      <c r="Y11" s="3607"/>
      <c r="Z11" s="52" t="str">
        <f t="shared" si="7"/>
        <v>容积率</v>
      </c>
      <c r="AA11" s="703" t="e">
        <f t="shared" si="3"/>
        <v>#N/A</v>
      </c>
      <c r="AB11" s="703" t="e">
        <f t="shared" si="4"/>
        <v>#N/A</v>
      </c>
      <c r="AC11" s="703"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5"/>
      <c r="Q12" s="1339">
        <f t="shared" si="6"/>
        <v>111</v>
      </c>
      <c r="R12" s="700" t="s">
        <v>18</v>
      </c>
      <c r="S12" s="701">
        <f t="shared" si="0"/>
        <v>100</v>
      </c>
      <c r="T12" s="700" t="s">
        <v>18</v>
      </c>
      <c r="U12" s="701">
        <f t="shared" si="1"/>
        <v>100</v>
      </c>
      <c r="V12" s="700" t="s">
        <v>18</v>
      </c>
      <c r="W12" s="701">
        <f t="shared" si="2"/>
        <v>100</v>
      </c>
      <c r="X12" s="702"/>
      <c r="Y12" s="3607"/>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5"/>
      <c r="Q13" s="1339">
        <f t="shared" si="6"/>
        <v>111</v>
      </c>
      <c r="R13" s="700" t="s">
        <v>18</v>
      </c>
      <c r="S13" s="701">
        <f t="shared" si="0"/>
        <v>100</v>
      </c>
      <c r="T13" s="700" t="s">
        <v>18</v>
      </c>
      <c r="U13" s="701">
        <f t="shared" si="1"/>
        <v>100</v>
      </c>
      <c r="V13" s="700" t="s">
        <v>18</v>
      </c>
      <c r="W13" s="701">
        <f t="shared" si="2"/>
        <v>100</v>
      </c>
      <c r="X13" s="702"/>
      <c r="Y13" s="3607"/>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5"/>
      <c r="Q14" s="1339">
        <f t="shared" si="6"/>
        <v>111</v>
      </c>
      <c r="R14" s="700" t="s">
        <v>18</v>
      </c>
      <c r="S14" s="701">
        <f t="shared" si="0"/>
        <v>100</v>
      </c>
      <c r="T14" s="700" t="s">
        <v>18</v>
      </c>
      <c r="U14" s="701">
        <f t="shared" si="1"/>
        <v>100</v>
      </c>
      <c r="V14" s="700" t="s">
        <v>18</v>
      </c>
      <c r="W14" s="701">
        <f t="shared" si="2"/>
        <v>100</v>
      </c>
      <c r="X14" s="702"/>
      <c r="Y14" s="3607"/>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5" t="s">
        <v>1688</v>
      </c>
      <c r="Q15" s="1348" t="str">
        <f t="shared" si="6"/>
        <v>居住社区成熟度</v>
      </c>
      <c r="R15" s="704" t="s">
        <v>18</v>
      </c>
      <c r="S15" s="705">
        <f t="shared" si="0"/>
        <v>100</v>
      </c>
      <c r="T15" s="704" t="s">
        <v>18</v>
      </c>
      <c r="U15" s="705">
        <f t="shared" si="1"/>
        <v>100</v>
      </c>
      <c r="V15" s="704" t="s">
        <v>18</v>
      </c>
      <c r="W15" s="705">
        <f t="shared" si="2"/>
        <v>100</v>
      </c>
      <c r="X15" s="1351"/>
      <c r="Y15" s="3717" t="s">
        <v>1688</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16"/>
      <c r="Q16" s="1348"/>
      <c r="R16" s="704"/>
      <c r="S16" s="705"/>
      <c r="T16" s="704"/>
      <c r="U16" s="705"/>
      <c r="V16" s="704"/>
      <c r="W16" s="705"/>
      <c r="X16" s="1351"/>
      <c r="Y16" s="3718"/>
      <c r="Z16" s="1352"/>
      <c r="AA16" s="1349">
        <v>1</v>
      </c>
      <c r="AB16" s="1349">
        <v>1</v>
      </c>
      <c r="AC16" s="1349">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16"/>
      <c r="Q17" s="1348" t="str">
        <f>B17</f>
        <v>交通便捷度</v>
      </c>
      <c r="R17" s="704" t="s">
        <v>18</v>
      </c>
      <c r="S17" s="705">
        <f>F17</f>
        <v>100</v>
      </c>
      <c r="T17" s="704" t="s">
        <v>18</v>
      </c>
      <c r="U17" s="705">
        <f>H17</f>
        <v>100</v>
      </c>
      <c r="V17" s="704" t="s">
        <v>18</v>
      </c>
      <c r="W17" s="705">
        <f>J17</f>
        <v>100</v>
      </c>
      <c r="X17" s="1351"/>
      <c r="Y17" s="3718"/>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16"/>
      <c r="Q18" s="1348"/>
      <c r="R18" s="704"/>
      <c r="S18" s="705"/>
      <c r="T18" s="704"/>
      <c r="U18" s="705"/>
      <c r="V18" s="704"/>
      <c r="W18" s="705"/>
      <c r="X18" s="1351"/>
      <c r="Y18" s="3718"/>
      <c r="Z18" s="1352"/>
      <c r="AA18" s="1349">
        <v>1</v>
      </c>
      <c r="AB18" s="1349">
        <v>1</v>
      </c>
      <c r="AC18" s="1349">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16"/>
      <c r="Q19" s="1348" t="str">
        <f>B19</f>
        <v>公共配套设施</v>
      </c>
      <c r="R19" s="704" t="s">
        <v>18</v>
      </c>
      <c r="S19" s="705">
        <f>F19</f>
        <v>100</v>
      </c>
      <c r="T19" s="704" t="s">
        <v>18</v>
      </c>
      <c r="U19" s="705">
        <f>H19</f>
        <v>100</v>
      </c>
      <c r="V19" s="704" t="s">
        <v>18</v>
      </c>
      <c r="W19" s="705">
        <f>J19</f>
        <v>100</v>
      </c>
      <c r="X19" s="1351"/>
      <c r="Y19" s="3718"/>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16"/>
      <c r="Q20" s="1348"/>
      <c r="R20" s="704"/>
      <c r="S20" s="705"/>
      <c r="T20" s="704"/>
      <c r="U20" s="705"/>
      <c r="V20" s="704"/>
      <c r="W20" s="705"/>
      <c r="X20" s="1351"/>
      <c r="Y20" s="3718"/>
      <c r="Z20" s="1352"/>
      <c r="AA20" s="1349">
        <v>1</v>
      </c>
      <c r="AB20" s="1349">
        <v>1</v>
      </c>
      <c r="AC20" s="1349">
        <v>1</v>
      </c>
    </row>
    <row r="21" spans="1:29" ht="28.5">
      <c r="A21" s="379"/>
      <c r="B21" s="1127"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16"/>
      <c r="Q21" s="1348" t="str">
        <f>B21</f>
        <v>基础设施水平</v>
      </c>
      <c r="R21" s="704" t="s">
        <v>14</v>
      </c>
      <c r="S21" s="705">
        <f>F21</f>
        <v>100</v>
      </c>
      <c r="T21" s="704" t="s">
        <v>14</v>
      </c>
      <c r="U21" s="705">
        <f>H21</f>
        <v>100</v>
      </c>
      <c r="V21" s="704" t="s">
        <v>14</v>
      </c>
      <c r="W21" s="705">
        <f>J21</f>
        <v>100</v>
      </c>
      <c r="X21" s="1351"/>
      <c r="Y21" s="3718"/>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16"/>
      <c r="Q22" s="1348"/>
      <c r="R22" s="704"/>
      <c r="S22" s="705"/>
      <c r="T22" s="704"/>
      <c r="U22" s="705"/>
      <c r="V22" s="704"/>
      <c r="W22" s="705"/>
      <c r="X22" s="1351"/>
      <c r="Y22" s="3718"/>
      <c r="Z22" s="1352"/>
      <c r="AA22" s="1349">
        <v>1</v>
      </c>
      <c r="AB22" s="1349">
        <v>1</v>
      </c>
      <c r="AC22" s="1349">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16"/>
      <c r="Q23" s="1348" t="str">
        <f>B23</f>
        <v>自然及人文环境</v>
      </c>
      <c r="R23" s="704" t="s">
        <v>18</v>
      </c>
      <c r="S23" s="705">
        <f>F23</f>
        <v>100</v>
      </c>
      <c r="T23" s="704" t="s">
        <v>18</v>
      </c>
      <c r="U23" s="705">
        <f>H23</f>
        <v>100</v>
      </c>
      <c r="V23" s="704" t="s">
        <v>18</v>
      </c>
      <c r="W23" s="705">
        <f>J23</f>
        <v>100</v>
      </c>
      <c r="X23" s="1351"/>
      <c r="Y23" s="3718"/>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16"/>
      <c r="Q24" s="1348"/>
      <c r="R24" s="704"/>
      <c r="S24" s="705"/>
      <c r="T24" s="704"/>
      <c r="U24" s="705"/>
      <c r="V24" s="704"/>
      <c r="W24" s="705"/>
      <c r="X24" s="1351"/>
      <c r="Y24" s="3718"/>
      <c r="Z24" s="1352"/>
      <c r="AA24" s="1349">
        <v>1</v>
      </c>
      <c r="AB24" s="1349">
        <v>1</v>
      </c>
      <c r="AC24" s="1349">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16"/>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718"/>
      <c r="Z25" s="1352" t="str">
        <f>Q25</f>
        <v>楼层-1</v>
      </c>
      <c r="AA25" s="1349">
        <f t="shared" ref="AA25:AA46" si="15">D25/F25</f>
        <v>1</v>
      </c>
      <c r="AB25" s="1349">
        <f t="shared" ref="AB25:AB46" si="16">D25/H25</f>
        <v>1</v>
      </c>
      <c r="AC25" s="1349">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16"/>
      <c r="Q26" s="1348" t="str">
        <f t="shared" si="11"/>
        <v>朝向</v>
      </c>
      <c r="R26" s="704" t="s">
        <v>18</v>
      </c>
      <c r="S26" s="705">
        <f t="shared" si="12"/>
        <v>100</v>
      </c>
      <c r="T26" s="704" t="s">
        <v>18</v>
      </c>
      <c r="U26" s="705">
        <f t="shared" si="13"/>
        <v>100</v>
      </c>
      <c r="V26" s="704" t="s">
        <v>18</v>
      </c>
      <c r="W26" s="705">
        <f t="shared" si="14"/>
        <v>100</v>
      </c>
      <c r="X26" s="1351"/>
      <c r="Y26" s="3718"/>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16"/>
      <c r="Q27" s="1339">
        <f t="shared" si="11"/>
        <v>111</v>
      </c>
      <c r="R27" s="700" t="s">
        <v>18</v>
      </c>
      <c r="S27" s="701">
        <f t="shared" si="12"/>
        <v>100</v>
      </c>
      <c r="T27" s="700" t="s">
        <v>18</v>
      </c>
      <c r="U27" s="701">
        <f t="shared" si="13"/>
        <v>100</v>
      </c>
      <c r="V27" s="700" t="s">
        <v>18</v>
      </c>
      <c r="W27" s="701">
        <f t="shared" si="14"/>
        <v>100</v>
      </c>
      <c r="X27" s="702"/>
      <c r="Y27" s="3718"/>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16"/>
      <c r="Q28" s="1348">
        <f t="shared" si="11"/>
        <v>111</v>
      </c>
      <c r="R28" s="704" t="s">
        <v>18</v>
      </c>
      <c r="S28" s="705">
        <f t="shared" si="12"/>
        <v>100</v>
      </c>
      <c r="T28" s="704" t="s">
        <v>18</v>
      </c>
      <c r="U28" s="705">
        <f t="shared" si="13"/>
        <v>100</v>
      </c>
      <c r="V28" s="704" t="s">
        <v>18</v>
      </c>
      <c r="W28" s="705">
        <f t="shared" si="14"/>
        <v>100</v>
      </c>
      <c r="X28" s="1351"/>
      <c r="Y28" s="3718"/>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16"/>
      <c r="Q29" s="1348">
        <f t="shared" si="11"/>
        <v>111</v>
      </c>
      <c r="R29" s="704" t="s">
        <v>18</v>
      </c>
      <c r="S29" s="705">
        <f t="shared" si="12"/>
        <v>100</v>
      </c>
      <c r="T29" s="704" t="s">
        <v>18</v>
      </c>
      <c r="U29" s="705">
        <f t="shared" si="13"/>
        <v>100</v>
      </c>
      <c r="V29" s="704" t="s">
        <v>18</v>
      </c>
      <c r="W29" s="705">
        <f t="shared" si="14"/>
        <v>100</v>
      </c>
      <c r="X29" s="1351"/>
      <c r="Y29" s="3718"/>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16"/>
      <c r="Q30" s="1348">
        <f t="shared" si="11"/>
        <v>111</v>
      </c>
      <c r="R30" s="704" t="s">
        <v>18</v>
      </c>
      <c r="S30" s="705">
        <f t="shared" si="12"/>
        <v>100</v>
      </c>
      <c r="T30" s="704" t="s">
        <v>18</v>
      </c>
      <c r="U30" s="705">
        <f t="shared" si="13"/>
        <v>100</v>
      </c>
      <c r="V30" s="704" t="s">
        <v>18</v>
      </c>
      <c r="W30" s="705">
        <f t="shared" si="14"/>
        <v>100</v>
      </c>
      <c r="X30" s="1351"/>
      <c r="Y30" s="3718"/>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16"/>
      <c r="Q31" s="1348">
        <f t="shared" si="11"/>
        <v>111</v>
      </c>
      <c r="R31" s="704" t="s">
        <v>18</v>
      </c>
      <c r="S31" s="705">
        <f t="shared" si="12"/>
        <v>100</v>
      </c>
      <c r="T31" s="704" t="s">
        <v>18</v>
      </c>
      <c r="U31" s="705">
        <f t="shared" si="13"/>
        <v>100</v>
      </c>
      <c r="V31" s="704" t="s">
        <v>18</v>
      </c>
      <c r="W31" s="705">
        <f t="shared" si="14"/>
        <v>100</v>
      </c>
      <c r="X31" s="1351"/>
      <c r="Y31" s="3718"/>
      <c r="Z31" s="1352">
        <f t="shared" si="18"/>
        <v>111</v>
      </c>
      <c r="AA31" s="1349">
        <f t="shared" si="15"/>
        <v>1</v>
      </c>
      <c r="AB31" s="1349">
        <f t="shared" si="16"/>
        <v>1</v>
      </c>
      <c r="AC31" s="1349">
        <f t="shared" si="17"/>
        <v>1</v>
      </c>
    </row>
    <row r="32" spans="1:29" ht="15">
      <c r="A32" s="391" t="s">
        <v>1691</v>
      </c>
      <c r="B32" s="63" t="s">
        <v>1692</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19" t="s">
        <v>1693</v>
      </c>
      <c r="Q32" s="1348" t="str">
        <f t="shared" si="11"/>
        <v>建筑类型</v>
      </c>
      <c r="R32" s="704" t="s">
        <v>18</v>
      </c>
      <c r="S32" s="705">
        <f t="shared" si="12"/>
        <v>100</v>
      </c>
      <c r="T32" s="704" t="s">
        <v>18</v>
      </c>
      <c r="U32" s="705">
        <f t="shared" si="13"/>
        <v>100</v>
      </c>
      <c r="V32" s="704" t="s">
        <v>18</v>
      </c>
      <c r="W32" s="705">
        <f t="shared" si="14"/>
        <v>100</v>
      </c>
      <c r="X32" s="1351"/>
      <c r="Y32" s="3722" t="s">
        <v>1693</v>
      </c>
      <c r="Z32" s="1352" t="str">
        <f t="shared" si="18"/>
        <v>建筑类型</v>
      </c>
      <c r="AA32" s="1349">
        <f t="shared" si="15"/>
        <v>1</v>
      </c>
      <c r="AB32" s="1349">
        <f t="shared" si="16"/>
        <v>1</v>
      </c>
      <c r="AC32" s="1349">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20"/>
      <c r="Q33" s="706" t="str">
        <f t="shared" si="11"/>
        <v>项目建筑规模</v>
      </c>
      <c r="R33" s="707" t="s">
        <v>18</v>
      </c>
      <c r="S33" s="708" t="e">
        <f t="shared" si="12"/>
        <v>#N/A</v>
      </c>
      <c r="T33" s="707" t="s">
        <v>18</v>
      </c>
      <c r="U33" s="708" t="e">
        <f t="shared" si="13"/>
        <v>#N/A</v>
      </c>
      <c r="V33" s="707" t="s">
        <v>18</v>
      </c>
      <c r="W33" s="708" t="e">
        <f t="shared" si="14"/>
        <v>#N/A</v>
      </c>
      <c r="X33" s="709"/>
      <c r="Y33" s="3722"/>
      <c r="Z33" s="710" t="str">
        <f t="shared" si="18"/>
        <v>项目建筑规模</v>
      </c>
      <c r="AA33" s="1349" t="e">
        <f t="shared" si="15"/>
        <v>#N/A</v>
      </c>
      <c r="AB33" s="1349" t="e">
        <f t="shared" si="16"/>
        <v>#N/A</v>
      </c>
      <c r="AC33" s="1349" t="e">
        <f t="shared" si="17"/>
        <v>#N/A</v>
      </c>
    </row>
    <row r="34" spans="1:29" ht="15">
      <c r="A34" s="423"/>
      <c r="B34" s="375" t="s">
        <v>1695</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20"/>
      <c r="Q34" s="1348" t="str">
        <f t="shared" si="11"/>
        <v>建筑结构</v>
      </c>
      <c r="R34" s="704" t="s">
        <v>18</v>
      </c>
      <c r="S34" s="705">
        <f t="shared" si="12"/>
        <v>100</v>
      </c>
      <c r="T34" s="704" t="s">
        <v>18</v>
      </c>
      <c r="U34" s="705">
        <f t="shared" si="13"/>
        <v>100</v>
      </c>
      <c r="V34" s="704" t="s">
        <v>18</v>
      </c>
      <c r="W34" s="705">
        <f t="shared" si="14"/>
        <v>100</v>
      </c>
      <c r="X34" s="1351"/>
      <c r="Y34" s="3722"/>
      <c r="Z34" s="1352" t="str">
        <f t="shared" si="18"/>
        <v>建筑结构</v>
      </c>
      <c r="AA34" s="1349">
        <f t="shared" si="15"/>
        <v>1</v>
      </c>
      <c r="AB34" s="1349">
        <f t="shared" si="16"/>
        <v>1</v>
      </c>
      <c r="AC34" s="1349">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20"/>
      <c r="Q35" s="1348" t="str">
        <f t="shared" si="11"/>
        <v>建筑品质</v>
      </c>
      <c r="R35" s="704" t="s">
        <v>18</v>
      </c>
      <c r="S35" s="705">
        <f t="shared" si="12"/>
        <v>100</v>
      </c>
      <c r="T35" s="704" t="s">
        <v>18</v>
      </c>
      <c r="U35" s="705">
        <f t="shared" si="13"/>
        <v>100</v>
      </c>
      <c r="V35" s="704" t="s">
        <v>18</v>
      </c>
      <c r="W35" s="705">
        <f t="shared" si="14"/>
        <v>100</v>
      </c>
      <c r="X35" s="1351"/>
      <c r="Y35" s="3722"/>
      <c r="Z35" s="1352" t="str">
        <f t="shared" si="18"/>
        <v>建筑品质</v>
      </c>
      <c r="AA35" s="1349">
        <f t="shared" si="15"/>
        <v>1</v>
      </c>
      <c r="AB35" s="1349">
        <f t="shared" si="16"/>
        <v>1</v>
      </c>
      <c r="AC35" s="1349">
        <f t="shared" si="17"/>
        <v>1</v>
      </c>
    </row>
    <row r="36" spans="1:29" ht="15">
      <c r="A36" s="423"/>
      <c r="B36" s="375" t="s">
        <v>1697</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20"/>
      <c r="Q36" s="1348" t="str">
        <f t="shared" si="11"/>
        <v>公共部分装修</v>
      </c>
      <c r="R36" s="704" t="s">
        <v>18</v>
      </c>
      <c r="S36" s="705">
        <f t="shared" si="12"/>
        <v>100</v>
      </c>
      <c r="T36" s="704" t="s">
        <v>18</v>
      </c>
      <c r="U36" s="705">
        <f t="shared" si="13"/>
        <v>100</v>
      </c>
      <c r="V36" s="704" t="s">
        <v>18</v>
      </c>
      <c r="W36" s="705">
        <f t="shared" si="14"/>
        <v>100</v>
      </c>
      <c r="X36" s="1351"/>
      <c r="Y36" s="3722"/>
      <c r="Z36" s="1352" t="str">
        <f t="shared" si="18"/>
        <v>公共部分装修</v>
      </c>
      <c r="AA36" s="1349">
        <f t="shared" si="15"/>
        <v>1</v>
      </c>
      <c r="AB36" s="1349">
        <f t="shared" si="16"/>
        <v>1</v>
      </c>
      <c r="AC36" s="1349">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20"/>
      <c r="Q37" s="1339" t="str">
        <f t="shared" si="11"/>
        <v>成新度</v>
      </c>
      <c r="R37" s="700" t="s">
        <v>18</v>
      </c>
      <c r="S37" s="701" t="e">
        <f t="shared" si="12"/>
        <v>#N/A</v>
      </c>
      <c r="T37" s="700" t="s">
        <v>18</v>
      </c>
      <c r="U37" s="701" t="e">
        <f t="shared" si="13"/>
        <v>#N/A</v>
      </c>
      <c r="V37" s="700" t="s">
        <v>18</v>
      </c>
      <c r="W37" s="701" t="e">
        <f t="shared" si="14"/>
        <v>#N/A</v>
      </c>
      <c r="X37" s="702"/>
      <c r="Y37" s="3722"/>
      <c r="Z37" s="52" t="str">
        <f t="shared" si="18"/>
        <v>成新度</v>
      </c>
      <c r="AA37" s="703" t="e">
        <f t="shared" si="15"/>
        <v>#N/A</v>
      </c>
      <c r="AB37" s="703" t="e">
        <f t="shared" si="16"/>
        <v>#N/A</v>
      </c>
      <c r="AC37" s="703" t="e">
        <f t="shared" si="17"/>
        <v>#N/A</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20" t="s">
        <v>1693</v>
      </c>
      <c r="Q38" s="1348" t="str">
        <f t="shared" si="11"/>
        <v>物业管理</v>
      </c>
      <c r="R38" s="704" t="s">
        <v>18</v>
      </c>
      <c r="S38" s="705">
        <f t="shared" si="12"/>
        <v>100</v>
      </c>
      <c r="T38" s="704" t="s">
        <v>18</v>
      </c>
      <c r="U38" s="705">
        <f t="shared" si="13"/>
        <v>100</v>
      </c>
      <c r="V38" s="704" t="s">
        <v>18</v>
      </c>
      <c r="W38" s="705">
        <f t="shared" si="14"/>
        <v>100</v>
      </c>
      <c r="X38" s="1351"/>
      <c r="Y38" s="3722" t="s">
        <v>1693</v>
      </c>
      <c r="Z38" s="1352" t="str">
        <f t="shared" si="18"/>
        <v>物业管理</v>
      </c>
      <c r="AA38" s="1349">
        <f t="shared" si="15"/>
        <v>1</v>
      </c>
      <c r="AB38" s="1349">
        <f t="shared" si="16"/>
        <v>1</v>
      </c>
      <c r="AC38" s="1349">
        <f t="shared" si="17"/>
        <v>1</v>
      </c>
    </row>
    <row r="39" spans="1:29" ht="15">
      <c r="A39" s="423"/>
      <c r="B39" s="375" t="s">
        <v>1700</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20"/>
      <c r="Q39" s="1348" t="str">
        <f t="shared" si="11"/>
        <v>市政基础设施</v>
      </c>
      <c r="R39" s="704" t="s">
        <v>18</v>
      </c>
      <c r="S39" s="705">
        <f t="shared" si="12"/>
        <v>100</v>
      </c>
      <c r="T39" s="704" t="s">
        <v>18</v>
      </c>
      <c r="U39" s="705">
        <f t="shared" si="13"/>
        <v>100</v>
      </c>
      <c r="V39" s="704" t="s">
        <v>18</v>
      </c>
      <c r="W39" s="705">
        <f t="shared" si="14"/>
        <v>100</v>
      </c>
      <c r="X39" s="1351"/>
      <c r="Y39" s="3722"/>
      <c r="Z39" s="1352" t="str">
        <f t="shared" si="18"/>
        <v>市政基础设施</v>
      </c>
      <c r="AA39" s="1349">
        <f t="shared" si="15"/>
        <v>1</v>
      </c>
      <c r="AB39" s="1349">
        <f t="shared" si="16"/>
        <v>1</v>
      </c>
      <c r="AC39" s="1349">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20"/>
      <c r="Q40" s="1348" t="str">
        <f t="shared" si="11"/>
        <v>房型</v>
      </c>
      <c r="R40" s="704" t="s">
        <v>18</v>
      </c>
      <c r="S40" s="705">
        <f t="shared" si="12"/>
        <v>100</v>
      </c>
      <c r="T40" s="704" t="s">
        <v>18</v>
      </c>
      <c r="U40" s="705">
        <f t="shared" si="13"/>
        <v>100</v>
      </c>
      <c r="V40" s="704" t="s">
        <v>18</v>
      </c>
      <c r="W40" s="705">
        <f t="shared" si="14"/>
        <v>100</v>
      </c>
      <c r="X40" s="1351"/>
      <c r="Y40" s="3722"/>
      <c r="Z40" s="1352" t="str">
        <f t="shared" si="18"/>
        <v>房型</v>
      </c>
      <c r="AA40" s="1349">
        <f t="shared" si="15"/>
        <v>1</v>
      </c>
      <c r="AB40" s="1349">
        <f t="shared" si="16"/>
        <v>1</v>
      </c>
      <c r="AC40" s="1349">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20"/>
      <c r="Q41" s="706" t="str">
        <f t="shared" si="11"/>
        <v>单套/主力户型建筑面积</v>
      </c>
      <c r="R41" s="707" t="s">
        <v>18</v>
      </c>
      <c r="S41" s="708">
        <f t="shared" si="12"/>
        <v>100</v>
      </c>
      <c r="T41" s="707" t="s">
        <v>18</v>
      </c>
      <c r="U41" s="708">
        <f t="shared" si="13"/>
        <v>100</v>
      </c>
      <c r="V41" s="707" t="s">
        <v>18</v>
      </c>
      <c r="W41" s="708">
        <f t="shared" si="14"/>
        <v>100</v>
      </c>
      <c r="X41" s="709"/>
      <c r="Y41" s="3722"/>
      <c r="Z41" s="710" t="str">
        <f t="shared" si="18"/>
        <v>单套/主力户型建筑面积</v>
      </c>
      <c r="AA41" s="1349">
        <f t="shared" si="15"/>
        <v>1</v>
      </c>
      <c r="AB41" s="1349">
        <f t="shared" si="16"/>
        <v>1</v>
      </c>
      <c r="AC41" s="1349">
        <f t="shared" si="17"/>
        <v>1</v>
      </c>
    </row>
    <row r="42" spans="1:29" ht="15">
      <c r="A42" s="423"/>
      <c r="B42" s="375" t="s">
        <v>1703</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20"/>
      <c r="Q42" s="1348" t="str">
        <f t="shared" si="11"/>
        <v>内部装修</v>
      </c>
      <c r="R42" s="704" t="s">
        <v>18</v>
      </c>
      <c r="S42" s="705">
        <f t="shared" si="12"/>
        <v>100</v>
      </c>
      <c r="T42" s="704" t="s">
        <v>18</v>
      </c>
      <c r="U42" s="705">
        <f t="shared" si="13"/>
        <v>100</v>
      </c>
      <c r="V42" s="704" t="s">
        <v>18</v>
      </c>
      <c r="W42" s="705">
        <f t="shared" si="14"/>
        <v>100</v>
      </c>
      <c r="X42" s="1351"/>
      <c r="Y42" s="3722"/>
      <c r="Z42" s="1352" t="str">
        <f t="shared" si="18"/>
        <v>内部装修</v>
      </c>
      <c r="AA42" s="1349">
        <f t="shared" si="15"/>
        <v>1</v>
      </c>
      <c r="AB42" s="1349">
        <f t="shared" si="16"/>
        <v>1</v>
      </c>
      <c r="AC42" s="1349">
        <f t="shared" si="17"/>
        <v>1</v>
      </c>
    </row>
    <row r="43" spans="1:29" ht="15">
      <c r="A43" s="423"/>
      <c r="B43" s="375" t="s">
        <v>1704</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20"/>
      <c r="Q43" s="1348" t="str">
        <f t="shared" si="11"/>
        <v>内部装修维护情况</v>
      </c>
      <c r="R43" s="704" t="s">
        <v>18</v>
      </c>
      <c r="S43" s="705">
        <f t="shared" si="12"/>
        <v>100</v>
      </c>
      <c r="T43" s="704" t="s">
        <v>18</v>
      </c>
      <c r="U43" s="705">
        <f t="shared" si="13"/>
        <v>100</v>
      </c>
      <c r="V43" s="704" t="s">
        <v>18</v>
      </c>
      <c r="W43" s="705">
        <f t="shared" si="14"/>
        <v>100</v>
      </c>
      <c r="X43" s="1351"/>
      <c r="Y43" s="3722"/>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20"/>
      <c r="Q44" s="1339">
        <f t="shared" si="11"/>
        <v>111</v>
      </c>
      <c r="R44" s="700" t="s">
        <v>18</v>
      </c>
      <c r="S44" s="701">
        <f t="shared" si="12"/>
        <v>100</v>
      </c>
      <c r="T44" s="700" t="s">
        <v>18</v>
      </c>
      <c r="U44" s="701">
        <f t="shared" si="13"/>
        <v>100</v>
      </c>
      <c r="V44" s="700" t="s">
        <v>18</v>
      </c>
      <c r="W44" s="701">
        <f t="shared" si="14"/>
        <v>100</v>
      </c>
      <c r="X44" s="702"/>
      <c r="Y44" s="3722"/>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20"/>
      <c r="Q45" s="1348">
        <f t="shared" si="11"/>
        <v>111</v>
      </c>
      <c r="R45" s="704" t="s">
        <v>18</v>
      </c>
      <c r="S45" s="705">
        <f t="shared" si="12"/>
        <v>100</v>
      </c>
      <c r="T45" s="704" t="s">
        <v>18</v>
      </c>
      <c r="U45" s="705">
        <f t="shared" si="13"/>
        <v>100</v>
      </c>
      <c r="V45" s="704" t="s">
        <v>18</v>
      </c>
      <c r="W45" s="705">
        <f t="shared" si="14"/>
        <v>100</v>
      </c>
      <c r="X45" s="1351"/>
      <c r="Y45" s="3722"/>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21"/>
      <c r="Q46" s="1348">
        <f t="shared" si="11"/>
        <v>111</v>
      </c>
      <c r="R46" s="704" t="s">
        <v>17</v>
      </c>
      <c r="S46" s="705">
        <f t="shared" si="12"/>
        <v>100</v>
      </c>
      <c r="T46" s="704" t="s">
        <v>17</v>
      </c>
      <c r="U46" s="705">
        <f t="shared" si="13"/>
        <v>100</v>
      </c>
      <c r="V46" s="704" t="s">
        <v>17</v>
      </c>
      <c r="W46" s="705">
        <f t="shared" si="14"/>
        <v>100</v>
      </c>
      <c r="X46" s="1351"/>
      <c r="Y46" s="3723"/>
      <c r="Z46" s="1352">
        <f t="shared" si="18"/>
        <v>111</v>
      </c>
      <c r="AA46" s="1349">
        <f t="shared" si="15"/>
        <v>1</v>
      </c>
      <c r="AB46" s="1349">
        <f t="shared" si="16"/>
        <v>1</v>
      </c>
      <c r="AC46" s="1349">
        <f t="shared" si="17"/>
        <v>1</v>
      </c>
    </row>
    <row r="47" spans="1:29" ht="15">
      <c r="A47" s="430" t="s">
        <v>1705</v>
      </c>
      <c r="B47" s="431"/>
      <c r="C47" s="1150" t="s">
        <v>16</v>
      </c>
      <c r="D47" s="1151"/>
      <c r="E47" s="1152"/>
      <c r="F47" s="1153"/>
      <c r="G47" s="1154"/>
      <c r="H47" s="1155"/>
      <c r="I47" s="1152"/>
      <c r="J47" s="1155"/>
      <c r="K47" s="1910"/>
      <c r="L47" s="2720"/>
      <c r="M47" s="2721"/>
      <c r="N47" s="2712"/>
      <c r="O47" s="2721"/>
      <c r="P47" s="3710" t="str">
        <f>A47</f>
        <v>成交单价（元/平方米）</v>
      </c>
      <c r="Q47" s="3710"/>
      <c r="R47" s="3711">
        <f>E47</f>
        <v>0</v>
      </c>
      <c r="S47" s="3711"/>
      <c r="T47" s="3711">
        <f>G47</f>
        <v>0</v>
      </c>
      <c r="U47" s="3711"/>
      <c r="V47" s="3711">
        <f>I47</f>
        <v>0</v>
      </c>
      <c r="W47" s="3711"/>
      <c r="X47" s="689"/>
      <c r="Y47" s="711"/>
      <c r="Z47" s="689"/>
      <c r="AA47" s="689"/>
      <c r="AB47" s="689"/>
      <c r="AC47" s="689"/>
    </row>
    <row r="48" spans="1:29" ht="15.75" thickBot="1">
      <c r="A48" s="437" t="s">
        <v>1706</v>
      </c>
      <c r="B48" s="438"/>
      <c r="C48" s="1156" t="e">
        <f>R49</f>
        <v>#DIV/0!</v>
      </c>
      <c r="D48" s="2313" t="s">
        <v>2133</v>
      </c>
      <c r="E48" s="1157" t="e">
        <f>R48</f>
        <v>#DIV/0!</v>
      </c>
      <c r="F48" s="2314"/>
      <c r="G48" s="1156" t="e">
        <f>T48</f>
        <v>#DIV/0!</v>
      </c>
      <c r="H48" s="2314"/>
      <c r="I48" s="1157" t="e">
        <f>V48</f>
        <v>#DIV/0!</v>
      </c>
      <c r="J48" s="2314"/>
      <c r="K48" s="2315">
        <f>F48+H48+J48</f>
        <v>0</v>
      </c>
      <c r="L48" s="2720"/>
      <c r="M48" s="2721"/>
      <c r="N48" s="2721"/>
      <c r="O48" s="2721"/>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89"/>
      <c r="Y48" s="689"/>
      <c r="Z48" s="689"/>
      <c r="AA48" s="689"/>
      <c r="AB48" s="689"/>
      <c r="AC48" s="689"/>
    </row>
    <row r="49" spans="1:29" ht="15.75" thickBot="1">
      <c r="A49" s="441" t="s">
        <v>1707</v>
      </c>
      <c r="B49" s="442"/>
      <c r="C49" s="1158" t="e">
        <f>R49</f>
        <v>#DIV/0!</v>
      </c>
      <c r="D49" s="1159"/>
      <c r="E49" s="1159"/>
      <c r="F49" s="1159"/>
      <c r="G49" s="1159"/>
      <c r="H49" s="1159"/>
      <c r="I49" s="1159"/>
      <c r="J49" s="1159"/>
      <c r="K49" s="1911"/>
      <c r="L49" s="2720"/>
      <c r="M49" s="2721"/>
      <c r="N49" s="2721"/>
      <c r="O49" s="2721"/>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3" t="s">
        <v>1711</v>
      </c>
      <c r="B57" s="689"/>
      <c r="C57" s="694"/>
      <c r="D57" s="694"/>
      <c r="E57" s="694"/>
      <c r="F57" s="695"/>
      <c r="G57" s="695"/>
      <c r="H57" s="694"/>
      <c r="I57" s="694"/>
      <c r="J57" s="694"/>
      <c r="K57" s="937"/>
      <c r="L57" s="938"/>
      <c r="M57" s="936"/>
      <c r="N57" s="936"/>
      <c r="O57" s="936"/>
      <c r="P57" s="1914"/>
      <c r="Q57" s="453"/>
    </row>
    <row r="58" spans="1:29" s="457" customFormat="1" ht="15">
      <c r="A58" s="454" t="s">
        <v>1712</v>
      </c>
      <c r="B58" s="455"/>
      <c r="C58" s="1182" t="str">
        <f>YEAR(C7)&amp;"-"&amp;MONTH(C7)</f>
        <v>2024-6</v>
      </c>
      <c r="D58" s="1181">
        <f>EDATE(C58,-1)</f>
        <v>45413</v>
      </c>
      <c r="E58" s="1181">
        <f>EDATE(D58,-1)</f>
        <v>45383</v>
      </c>
      <c r="F58" s="1181">
        <f t="shared" ref="F58:O58" si="19">EDATE(E58,-1)</f>
        <v>45352</v>
      </c>
      <c r="G58" s="1181">
        <f t="shared" si="19"/>
        <v>45323</v>
      </c>
      <c r="H58" s="1181">
        <f t="shared" si="19"/>
        <v>45292</v>
      </c>
      <c r="I58" s="1181">
        <f t="shared" si="19"/>
        <v>45261</v>
      </c>
      <c r="J58" s="1181">
        <f t="shared" si="19"/>
        <v>45231</v>
      </c>
      <c r="K58" s="1181">
        <f t="shared" si="19"/>
        <v>45200</v>
      </c>
      <c r="L58" s="1181">
        <f t="shared" si="19"/>
        <v>45170</v>
      </c>
      <c r="M58" s="1181">
        <f t="shared" si="19"/>
        <v>45139</v>
      </c>
      <c r="N58" s="1181">
        <f t="shared" si="19"/>
        <v>45108</v>
      </c>
      <c r="O58" s="1181">
        <f t="shared" si="19"/>
        <v>45078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1713</v>
      </c>
      <c r="B60" s="465"/>
      <c r="C60" s="466"/>
      <c r="D60" s="467"/>
      <c r="E60" s="467"/>
      <c r="F60" s="467"/>
      <c r="G60" s="467"/>
      <c r="H60" s="467"/>
      <c r="I60" s="467"/>
      <c r="J60" s="467"/>
      <c r="K60" s="467"/>
      <c r="L60" s="467"/>
      <c r="M60" s="468"/>
      <c r="N60" s="467"/>
      <c r="O60" s="468"/>
      <c r="P60" s="1916"/>
      <c r="Q60" s="453"/>
    </row>
    <row r="61" spans="1:29" s="108" customFormat="1" ht="15">
      <c r="A61" s="470" t="s">
        <v>1714</v>
      </c>
      <c r="B61" s="459"/>
      <c r="C61" s="471" t="s">
        <v>1715</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1716</v>
      </c>
      <c r="B63" s="477" t="s">
        <v>1682</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1685</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1257</v>
      </c>
      <c r="C82" s="488" t="s">
        <v>1725</v>
      </c>
      <c r="D82" s="488" t="s">
        <v>1726</v>
      </c>
      <c r="E82" s="488" t="s">
        <v>1727</v>
      </c>
      <c r="F82" s="488" t="s">
        <v>1728</v>
      </c>
      <c r="G82" s="488" t="s">
        <v>1729</v>
      </c>
      <c r="H82" s="488"/>
      <c r="I82" s="488"/>
      <c r="J82" s="488"/>
      <c r="K82" s="488"/>
      <c r="L82" s="488"/>
      <c r="M82" s="1125"/>
      <c r="N82" s="930"/>
      <c r="O82" s="930"/>
      <c r="P82" s="1918"/>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0"/>
      <c r="O83" s="930"/>
      <c r="P83" s="1918"/>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1731</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1732</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1691</v>
      </c>
      <c r="B100" s="477" t="s">
        <v>1733</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1735</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1736</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1737</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1738</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1739</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1740</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1702</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1741</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7" t="s">
        <v>1746</v>
      </c>
      <c r="D138" s="137" t="s">
        <v>1747</v>
      </c>
      <c r="E138" s="1933" t="s">
        <v>1748</v>
      </c>
      <c r="F138" s="1934" t="s">
        <v>1749</v>
      </c>
      <c r="G138" s="137" t="s">
        <v>1747</v>
      </c>
      <c r="H138" s="138" t="s">
        <v>1748</v>
      </c>
      <c r="I138" s="1935"/>
      <c r="J138" s="137" t="s">
        <v>1750</v>
      </c>
      <c r="K138" s="138"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71">
        <f>ROUNDUP((J139-1)/2,0)</f>
        <v>10</v>
      </c>
      <c r="K140" s="874">
        <v>100</v>
      </c>
    </row>
    <row r="141" spans="1:17" ht="15">
      <c r="B141" s="869">
        <v>4</v>
      </c>
      <c r="C141" s="870">
        <v>102</v>
      </c>
      <c r="D141" s="870"/>
      <c r="E141" s="871"/>
      <c r="F141" s="872">
        <v>101.5</v>
      </c>
      <c r="G141" s="870"/>
      <c r="H141" s="873"/>
      <c r="I141" s="1938" t="s">
        <v>1755</v>
      </c>
      <c r="J141" s="271">
        <v>1</v>
      </c>
      <c r="K141" s="875">
        <f>ROUND(100+(J141-J140)*K139*100,1)</f>
        <v>96.4</v>
      </c>
    </row>
    <row r="142" spans="1:17" ht="15">
      <c r="B142" s="869">
        <v>3</v>
      </c>
      <c r="C142" s="870">
        <v>103</v>
      </c>
      <c r="D142" s="870"/>
      <c r="E142" s="871"/>
      <c r="F142" s="872">
        <v>101</v>
      </c>
      <c r="G142" s="870"/>
      <c r="H142" s="873"/>
      <c r="I142" s="1938" t="s">
        <v>1756</v>
      </c>
      <c r="J142" s="271">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897</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898</v>
      </c>
    </row>
    <row r="6" spans="1:1" ht="18.75">
      <c r="A6" s="1478" t="s">
        <v>899</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估价对象为北京市房地产，为所有。根据《国有土地使用证》[]，估价对象（分摊）出让国有建设用地使用权面积为73586.24平方米，建筑面积为20228.24平方米。</v>
      </c>
    </row>
    <row r="8" spans="1:1" ht="57.75">
      <c r="A8" s="1479" t="s">
        <v>900</v>
      </c>
    </row>
    <row r="9" spans="1:1" ht="18.75">
      <c r="A9" s="1478" t="s">
        <v>901</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估价对象为北京市房地产,属开发建设的工业项目，该项目尚在开发建设中。根据《国有土地使用证》[]，估价对象（分摊）出让国有建设用地使用权面积为73586.24平方米，规划建筑面积为20228.24平方米。</v>
      </c>
    </row>
    <row r="11" spans="1:1" ht="76.5">
      <c r="A11" s="1479" t="s">
        <v>902</v>
      </c>
    </row>
    <row r="12" spans="1:1" ht="18.75">
      <c r="A12" s="1477" t="s">
        <v>903</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904</v>
      </c>
    </row>
    <row r="15" spans="1:1" ht="18">
      <c r="A15" s="1482" t="str">
        <f>TEXT(项目基本情况!D3,"yyyy年m月d日;;")&amp;IF(项目基本情况!D3=项目基本情况!B3,"（评估专业人员实地查勘之日）","")</f>
        <v>2024年6月24日</v>
      </c>
    </row>
    <row r="16" spans="1:1" ht="18.75">
      <c r="A16" s="1481" t="s">
        <v>905</v>
      </c>
    </row>
    <row r="17" spans="1:1" ht="75">
      <c r="A17" s="1476" t="s">
        <v>906</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24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895</v>
      </c>
    </row>
    <row r="24" spans="1:1" ht="18">
      <c r="A24" s="1483" t="str">
        <f>"本次评估采用的主估价方法为"&amp;结果表!K4&amp;"和"&amp;结果表!L4&amp;"。"</f>
        <v>本次评估采用的主估价方法为成本法和收益法。</v>
      </c>
    </row>
    <row r="25" spans="1:1" ht="18">
      <c r="A25" s="1483"/>
    </row>
    <row r="26" spans="1:1" ht="18.75">
      <c r="A26" s="1484" t="s">
        <v>896</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1807</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20228.239999999998</v>
      </c>
      <c r="E3" s="1950"/>
      <c r="F3" s="905"/>
      <c r="G3" s="904"/>
      <c r="H3" s="904"/>
      <c r="I3" s="904"/>
      <c r="J3" s="904"/>
      <c r="K3" s="906"/>
      <c r="L3" s="2730"/>
      <c r="M3" s="2731"/>
      <c r="N3" s="2731"/>
      <c r="O3" s="2731"/>
      <c r="P3" s="698"/>
      <c r="Q3" s="698"/>
      <c r="R3" s="698"/>
      <c r="S3" s="698"/>
      <c r="T3" s="698"/>
      <c r="U3" s="698"/>
      <c r="V3" s="698"/>
      <c r="W3" s="698"/>
      <c r="X3" s="698"/>
      <c r="Y3" s="698"/>
      <c r="Z3" s="698"/>
      <c r="AA3" s="698"/>
      <c r="AB3" s="698"/>
      <c r="AC3" s="699"/>
    </row>
    <row r="4" spans="1:29" ht="15">
      <c r="A4" s="355" t="s">
        <v>1766</v>
      </c>
      <c r="B4" s="356"/>
      <c r="C4" s="3729" t="s">
        <v>1767</v>
      </c>
      <c r="D4" s="3730"/>
      <c r="E4" s="3731" t="s">
        <v>1768</v>
      </c>
      <c r="F4" s="3732"/>
      <c r="G4" s="3729" t="s">
        <v>1769</v>
      </c>
      <c r="H4" s="3730"/>
      <c r="I4" s="3729" t="s">
        <v>1770</v>
      </c>
      <c r="J4" s="3730"/>
      <c r="K4" s="559" t="s">
        <v>1771</v>
      </c>
      <c r="L4" s="2711"/>
      <c r="M4" s="2712"/>
      <c r="N4" s="2712"/>
      <c r="O4" s="2712"/>
      <c r="P4" s="3781" t="s">
        <v>1772</v>
      </c>
      <c r="Q4" s="3782"/>
      <c r="R4" s="3785" t="s">
        <v>1768</v>
      </c>
      <c r="S4" s="3786"/>
      <c r="T4" s="3785" t="s">
        <v>1769</v>
      </c>
      <c r="U4" s="3786"/>
      <c r="V4" s="3787" t="s">
        <v>1770</v>
      </c>
      <c r="W4" s="3787"/>
      <c r="X4" s="1954"/>
      <c r="Y4" s="3785" t="s">
        <v>1772</v>
      </c>
      <c r="Z4" s="3786"/>
      <c r="AA4" s="3789" t="s">
        <v>1768</v>
      </c>
      <c r="AB4" s="3789" t="s">
        <v>1769</v>
      </c>
      <c r="AC4" s="3778" t="s">
        <v>1770</v>
      </c>
    </row>
    <row r="5" spans="1:29" ht="15">
      <c r="A5" s="358"/>
      <c r="B5" s="359"/>
      <c r="C5" s="3747" t="s">
        <v>1670</v>
      </c>
      <c r="D5" s="3748"/>
      <c r="E5" s="3754" t="s">
        <v>1671</v>
      </c>
      <c r="F5" s="3755"/>
      <c r="G5" s="3747" t="s">
        <v>1672</v>
      </c>
      <c r="H5" s="3748"/>
      <c r="I5" s="3747" t="s">
        <v>1673</v>
      </c>
      <c r="J5" s="3748"/>
      <c r="K5" s="559"/>
      <c r="L5" s="2711"/>
      <c r="M5" s="2712"/>
      <c r="N5" s="2712"/>
      <c r="O5" s="2712"/>
      <c r="P5" s="3783"/>
      <c r="Q5" s="3736"/>
      <c r="R5" s="3741"/>
      <c r="S5" s="3742"/>
      <c r="T5" s="3741"/>
      <c r="U5" s="3742"/>
      <c r="V5" s="3724"/>
      <c r="W5" s="3724"/>
      <c r="X5" s="1351"/>
      <c r="Y5" s="3741"/>
      <c r="Z5" s="3742"/>
      <c r="AA5" s="3727"/>
      <c r="AB5" s="3727"/>
      <c r="AC5" s="3779"/>
    </row>
    <row r="6" spans="1:29" ht="15.75" thickBot="1">
      <c r="A6" s="360"/>
      <c r="B6" s="361"/>
      <c r="C6" s="3745" t="s">
        <v>1674</v>
      </c>
      <c r="D6" s="3746"/>
      <c r="E6" s="3752" t="s">
        <v>1674</v>
      </c>
      <c r="F6" s="3753"/>
      <c r="G6" s="3745" t="s">
        <v>1674</v>
      </c>
      <c r="H6" s="3746"/>
      <c r="I6" s="3745" t="s">
        <v>1674</v>
      </c>
      <c r="J6" s="3746"/>
      <c r="K6" s="559" t="s">
        <v>1675</v>
      </c>
      <c r="L6" s="2711"/>
      <c r="M6" s="2712"/>
      <c r="N6" s="2712"/>
      <c r="O6" s="2712"/>
      <c r="P6" s="3784"/>
      <c r="Q6" s="3738"/>
      <c r="R6" s="3741"/>
      <c r="S6" s="3742"/>
      <c r="T6" s="3743"/>
      <c r="U6" s="3744"/>
      <c r="V6" s="3724"/>
      <c r="W6" s="3724"/>
      <c r="X6" s="1351"/>
      <c r="Y6" s="3743"/>
      <c r="Z6" s="3744"/>
      <c r="AA6" s="3728"/>
      <c r="AB6" s="3728"/>
      <c r="AC6" s="3780"/>
    </row>
    <row r="7" spans="1:29" s="108" customFormat="1" ht="15.75" thickBot="1">
      <c r="A7" s="362" t="s">
        <v>1676</v>
      </c>
      <c r="B7" s="363"/>
      <c r="C7" s="364">
        <f>'数据-取费表'!B2</f>
        <v>45467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8" t="s">
        <v>1677</v>
      </c>
      <c r="Q7" s="3751"/>
      <c r="R7" s="700" t="s">
        <v>14</v>
      </c>
      <c r="S7" s="701">
        <f t="shared" ref="S7:S15" si="0">F7</f>
        <v>0</v>
      </c>
      <c r="T7" s="700" t="s">
        <v>14</v>
      </c>
      <c r="U7" s="701">
        <f t="shared" ref="U7:U15" si="1">H7</f>
        <v>0</v>
      </c>
      <c r="V7" s="700" t="s">
        <v>14</v>
      </c>
      <c r="W7" s="701">
        <f t="shared" ref="W7:W15" si="2">J7</f>
        <v>0</v>
      </c>
      <c r="X7" s="702"/>
      <c r="Y7" s="3749" t="s">
        <v>1677</v>
      </c>
      <c r="Z7" s="3750"/>
      <c r="AA7" s="703" t="e">
        <f>D7/F7</f>
        <v>#DIV/0!</v>
      </c>
      <c r="AB7" s="703" t="e">
        <f>D7/H7</f>
        <v>#DIV/0!</v>
      </c>
      <c r="AC7" s="1955"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8" t="s">
        <v>1680</v>
      </c>
      <c r="Q8" s="3750"/>
      <c r="R8" s="700" t="s">
        <v>14</v>
      </c>
      <c r="S8" s="701">
        <f t="shared" si="0"/>
        <v>100</v>
      </c>
      <c r="T8" s="700" t="s">
        <v>14</v>
      </c>
      <c r="U8" s="701">
        <f t="shared" si="1"/>
        <v>100</v>
      </c>
      <c r="V8" s="700" t="s">
        <v>14</v>
      </c>
      <c r="W8" s="701">
        <f t="shared" si="2"/>
        <v>100</v>
      </c>
      <c r="X8" s="702"/>
      <c r="Y8" s="3749" t="s">
        <v>1680</v>
      </c>
      <c r="Z8" s="3750"/>
      <c r="AA8" s="703">
        <f t="shared" ref="AA8:AA47" si="3">D8/F8</f>
        <v>1</v>
      </c>
      <c r="AB8" s="703">
        <f t="shared" ref="AB8:AB47" si="4">D8/H8</f>
        <v>1</v>
      </c>
      <c r="AC8" s="1955">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5" t="s">
        <v>1683</v>
      </c>
      <c r="Q9" s="1339" t="str">
        <f t="shared" ref="Q9:Q15" si="6">B9</f>
        <v>用途</v>
      </c>
      <c r="R9" s="700" t="s">
        <v>14</v>
      </c>
      <c r="S9" s="701">
        <f t="shared" si="0"/>
        <v>100</v>
      </c>
      <c r="T9" s="700" t="s">
        <v>14</v>
      </c>
      <c r="U9" s="701">
        <f t="shared" si="1"/>
        <v>100</v>
      </c>
      <c r="V9" s="700" t="s">
        <v>14</v>
      </c>
      <c r="W9" s="701">
        <f t="shared" si="2"/>
        <v>100</v>
      </c>
      <c r="X9" s="702"/>
      <c r="Y9" s="3607" t="s">
        <v>1684</v>
      </c>
      <c r="Z9" s="52" t="str">
        <f t="shared" ref="Z9:Z15" si="7">Q9</f>
        <v>用途</v>
      </c>
      <c r="AA9" s="703">
        <f t="shared" si="3"/>
        <v>1</v>
      </c>
      <c r="AB9" s="703">
        <f t="shared" si="4"/>
        <v>1</v>
      </c>
      <c r="AC9" s="1955">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5"/>
      <c r="M10" s="2716"/>
      <c r="N10" s="2716"/>
      <c r="O10" s="2716"/>
      <c r="P10" s="3725"/>
      <c r="Q10" s="1339" t="str">
        <f t="shared" si="6"/>
        <v>土地使用年限（年）</v>
      </c>
      <c r="R10" s="700" t="s">
        <v>14</v>
      </c>
      <c r="S10" s="701">
        <f t="shared" si="0"/>
        <v>100</v>
      </c>
      <c r="T10" s="700" t="s">
        <v>14</v>
      </c>
      <c r="U10" s="701">
        <f t="shared" si="1"/>
        <v>100</v>
      </c>
      <c r="V10" s="700" t="s">
        <v>14</v>
      </c>
      <c r="W10" s="701">
        <f t="shared" si="2"/>
        <v>100</v>
      </c>
      <c r="X10" s="702"/>
      <c r="Y10" s="3607"/>
      <c r="Z10" s="52" t="str">
        <f t="shared" si="7"/>
        <v>土地使用年限（年）</v>
      </c>
      <c r="AA10" s="703">
        <f t="shared" si="3"/>
        <v>1</v>
      </c>
      <c r="AB10" s="703">
        <f t="shared" si="4"/>
        <v>1</v>
      </c>
      <c r="AC10" s="1955">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5"/>
      <c r="Q11" s="1339" t="str">
        <f t="shared" si="6"/>
        <v>容积率</v>
      </c>
      <c r="R11" s="700" t="s">
        <v>14</v>
      </c>
      <c r="S11" s="701">
        <f t="shared" si="0"/>
        <v>100</v>
      </c>
      <c r="T11" s="700" t="s">
        <v>14</v>
      </c>
      <c r="U11" s="701">
        <f t="shared" si="1"/>
        <v>100</v>
      </c>
      <c r="V11" s="700" t="s">
        <v>14</v>
      </c>
      <c r="W11" s="701">
        <f t="shared" si="2"/>
        <v>100</v>
      </c>
      <c r="X11" s="702"/>
      <c r="Y11" s="3607"/>
      <c r="Z11" s="52" t="str">
        <f t="shared" si="7"/>
        <v>容积率</v>
      </c>
      <c r="AA11" s="703">
        <f t="shared" si="3"/>
        <v>1</v>
      </c>
      <c r="AB11" s="703">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5"/>
      <c r="Q12" s="1339">
        <f t="shared" si="6"/>
        <v>111</v>
      </c>
      <c r="R12" s="700" t="s">
        <v>14</v>
      </c>
      <c r="S12" s="701">
        <f t="shared" si="0"/>
        <v>100</v>
      </c>
      <c r="T12" s="700" t="s">
        <v>14</v>
      </c>
      <c r="U12" s="701">
        <f t="shared" si="1"/>
        <v>100</v>
      </c>
      <c r="V12" s="700" t="s">
        <v>14</v>
      </c>
      <c r="W12" s="701">
        <f t="shared" si="2"/>
        <v>100</v>
      </c>
      <c r="X12" s="702"/>
      <c r="Y12" s="3607"/>
      <c r="Z12" s="52">
        <f t="shared" si="7"/>
        <v>111</v>
      </c>
      <c r="AA12" s="703">
        <f>D12/F12</f>
        <v>1</v>
      </c>
      <c r="AB12" s="703">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5"/>
      <c r="Q13" s="1339">
        <f t="shared" si="6"/>
        <v>111</v>
      </c>
      <c r="R13" s="700" t="s">
        <v>14</v>
      </c>
      <c r="S13" s="701">
        <f t="shared" si="0"/>
        <v>100</v>
      </c>
      <c r="T13" s="700" t="s">
        <v>14</v>
      </c>
      <c r="U13" s="701">
        <f t="shared" si="1"/>
        <v>100</v>
      </c>
      <c r="V13" s="700" t="s">
        <v>14</v>
      </c>
      <c r="W13" s="701">
        <f t="shared" si="2"/>
        <v>100</v>
      </c>
      <c r="X13" s="702"/>
      <c r="Y13" s="3607"/>
      <c r="Z13" s="52">
        <f t="shared" si="7"/>
        <v>111</v>
      </c>
      <c r="AA13" s="703">
        <f t="shared" si="3"/>
        <v>1</v>
      </c>
      <c r="AB13" s="703">
        <f t="shared" si="4"/>
        <v>1</v>
      </c>
      <c r="AC13" s="1955">
        <f t="shared" si="5"/>
        <v>1</v>
      </c>
    </row>
    <row r="14" spans="1:29" ht="15.75" thickBot="1">
      <c r="A14" s="387"/>
      <c r="B14" s="1891">
        <v>111</v>
      </c>
      <c r="C14" s="388"/>
      <c r="D14" s="389">
        <v>100</v>
      </c>
      <c r="E14" s="575"/>
      <c r="F14" s="389">
        <f>SUMIF(75:75,E14,76:76)-SUMIF(75:75,C14,76:76)+100</f>
        <v>100</v>
      </c>
      <c r="G14" s="1956"/>
      <c r="H14" s="389">
        <f>SUMIF(75:75,G14,76:76)-SUMIF(75:75,C14,76:76)+100</f>
        <v>100</v>
      </c>
      <c r="I14" s="383"/>
      <c r="J14" s="389">
        <f>SUMIF(75:75,I14,76:76)-SUMIF(75:75,C14,76:76)+100</f>
        <v>100</v>
      </c>
      <c r="K14" s="562"/>
      <c r="L14" s="2718"/>
      <c r="M14" s="2712"/>
      <c r="N14" s="2712"/>
      <c r="O14" s="2712"/>
      <c r="P14" s="3725"/>
      <c r="Q14" s="1339">
        <f t="shared" si="6"/>
        <v>111</v>
      </c>
      <c r="R14" s="700" t="s">
        <v>14</v>
      </c>
      <c r="S14" s="701">
        <f t="shared" si="0"/>
        <v>100</v>
      </c>
      <c r="T14" s="700" t="s">
        <v>14</v>
      </c>
      <c r="U14" s="701">
        <f t="shared" si="1"/>
        <v>100</v>
      </c>
      <c r="V14" s="700" t="s">
        <v>14</v>
      </c>
      <c r="W14" s="701">
        <f t="shared" si="2"/>
        <v>100</v>
      </c>
      <c r="X14" s="702"/>
      <c r="Y14" s="3607"/>
      <c r="Z14" s="52">
        <f t="shared" si="7"/>
        <v>111</v>
      </c>
      <c r="AA14" s="703">
        <f t="shared" si="3"/>
        <v>1</v>
      </c>
      <c r="AB14" s="703">
        <f t="shared" si="4"/>
        <v>1</v>
      </c>
      <c r="AC14" s="1955">
        <f t="shared" si="5"/>
        <v>1</v>
      </c>
    </row>
    <row r="15" spans="1:29" ht="71.25">
      <c r="A15" s="391" t="s">
        <v>1687</v>
      </c>
      <c r="B15" s="576" t="s">
        <v>1808</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15" t="s">
        <v>1688</v>
      </c>
      <c r="Q15" s="1348" t="str">
        <f t="shared" si="6"/>
        <v>办公集聚程度</v>
      </c>
      <c r="R15" s="704" t="s">
        <v>14</v>
      </c>
      <c r="S15" s="705">
        <f t="shared" si="0"/>
        <v>100</v>
      </c>
      <c r="T15" s="704" t="s">
        <v>14</v>
      </c>
      <c r="U15" s="705">
        <f t="shared" si="1"/>
        <v>100</v>
      </c>
      <c r="V15" s="704" t="s">
        <v>14</v>
      </c>
      <c r="W15" s="705">
        <f t="shared" si="2"/>
        <v>100</v>
      </c>
      <c r="X15" s="1351"/>
      <c r="Y15" s="3717" t="s">
        <v>1688</v>
      </c>
      <c r="Z15" s="1352" t="str">
        <f t="shared" si="7"/>
        <v>办公集聚程度</v>
      </c>
      <c r="AA15" s="1349">
        <f t="shared" si="3"/>
        <v>1</v>
      </c>
      <c r="AB15" s="1349">
        <f t="shared" si="4"/>
        <v>1</v>
      </c>
      <c r="AC15" s="1958">
        <f t="shared" si="5"/>
        <v>1</v>
      </c>
    </row>
    <row r="16" spans="1:29" ht="15">
      <c r="A16" s="379"/>
      <c r="B16" s="577"/>
      <c r="C16" s="1900"/>
      <c r="D16" s="399"/>
      <c r="E16" s="398"/>
      <c r="F16" s="399"/>
      <c r="G16" s="1900"/>
      <c r="H16" s="401"/>
      <c r="I16" s="398"/>
      <c r="J16" s="399"/>
      <c r="K16" s="564"/>
      <c r="L16" s="2718"/>
      <c r="M16" s="2712"/>
      <c r="N16" s="2712"/>
      <c r="O16" s="2712"/>
      <c r="P16" s="3716"/>
      <c r="Q16" s="1348"/>
      <c r="R16" s="704"/>
      <c r="S16" s="705"/>
      <c r="T16" s="704"/>
      <c r="U16" s="705"/>
      <c r="V16" s="704"/>
      <c r="W16" s="705"/>
      <c r="X16" s="1351"/>
      <c r="Y16" s="3718"/>
      <c r="Z16" s="1352"/>
      <c r="AA16" s="1349">
        <v>1</v>
      </c>
      <c r="AB16" s="1349">
        <v>1</v>
      </c>
      <c r="AC16" s="1958">
        <v>1</v>
      </c>
    </row>
    <row r="17" spans="1:29" ht="71.25">
      <c r="A17" s="379"/>
      <c r="B17" s="578" t="s">
        <v>1256</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16"/>
      <c r="Q17" s="1348" t="str">
        <f>B17</f>
        <v>交通便捷度</v>
      </c>
      <c r="R17" s="704" t="s">
        <v>14</v>
      </c>
      <c r="S17" s="705">
        <f>F17</f>
        <v>100</v>
      </c>
      <c r="T17" s="704" t="s">
        <v>14</v>
      </c>
      <c r="U17" s="705">
        <f>H17</f>
        <v>100</v>
      </c>
      <c r="V17" s="704" t="s">
        <v>14</v>
      </c>
      <c r="W17" s="705">
        <f>J17</f>
        <v>100</v>
      </c>
      <c r="X17" s="1351"/>
      <c r="Y17" s="3718"/>
      <c r="Z17" s="1352" t="str">
        <f>Q17</f>
        <v>交通便捷度</v>
      </c>
      <c r="AA17" s="1349">
        <f t="shared" si="3"/>
        <v>1</v>
      </c>
      <c r="AB17" s="1349">
        <f t="shared" si="4"/>
        <v>1</v>
      </c>
      <c r="AC17" s="1958">
        <f t="shared" si="5"/>
        <v>1</v>
      </c>
    </row>
    <row r="18" spans="1:29" ht="15">
      <c r="A18" s="379"/>
      <c r="B18" s="579"/>
      <c r="C18" s="1960"/>
      <c r="D18" s="401"/>
      <c r="E18" s="1898"/>
      <c r="F18" s="401"/>
      <c r="G18" s="1899"/>
      <c r="H18" s="399"/>
      <c r="I18" s="1899"/>
      <c r="J18" s="399"/>
      <c r="K18" s="564"/>
      <c r="L18" s="2718"/>
      <c r="M18" s="2712"/>
      <c r="N18" s="2712"/>
      <c r="O18" s="2712"/>
      <c r="P18" s="3716"/>
      <c r="Q18" s="1348"/>
      <c r="R18" s="704"/>
      <c r="S18" s="705"/>
      <c r="T18" s="704"/>
      <c r="U18" s="705"/>
      <c r="V18" s="704"/>
      <c r="W18" s="705"/>
      <c r="X18" s="1351"/>
      <c r="Y18" s="3718"/>
      <c r="Z18" s="1352"/>
      <c r="AA18" s="1349">
        <v>1</v>
      </c>
      <c r="AB18" s="1349">
        <v>1</v>
      </c>
      <c r="AC18" s="1958">
        <v>1</v>
      </c>
    </row>
    <row r="19" spans="1:29" ht="42.75">
      <c r="A19" s="379"/>
      <c r="B19" s="578" t="s">
        <v>1809</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16"/>
      <c r="Q19" s="1348" t="str">
        <f>B19</f>
        <v>公共配套设施</v>
      </c>
      <c r="R19" s="704" t="s">
        <v>14</v>
      </c>
      <c r="S19" s="705">
        <f>F19</f>
        <v>100</v>
      </c>
      <c r="T19" s="704" t="s">
        <v>14</v>
      </c>
      <c r="U19" s="705">
        <f>H19</f>
        <v>100</v>
      </c>
      <c r="V19" s="704" t="s">
        <v>14</v>
      </c>
      <c r="W19" s="705">
        <f>J19</f>
        <v>100</v>
      </c>
      <c r="X19" s="1351"/>
      <c r="Y19" s="3718"/>
      <c r="Z19" s="1352" t="str">
        <f>Q19</f>
        <v>公共配套设施</v>
      </c>
      <c r="AA19" s="1349">
        <f t="shared" si="3"/>
        <v>1</v>
      </c>
      <c r="AB19" s="1349">
        <f t="shared" si="4"/>
        <v>1</v>
      </c>
      <c r="AC19" s="1958">
        <f t="shared" si="5"/>
        <v>1</v>
      </c>
    </row>
    <row r="20" spans="1:29" ht="15">
      <c r="A20" s="379"/>
      <c r="B20" s="579"/>
      <c r="C20" s="1900"/>
      <c r="D20" s="399"/>
      <c r="E20" s="1893"/>
      <c r="F20" s="399"/>
      <c r="G20" s="1894"/>
      <c r="H20" s="399"/>
      <c r="I20" s="1894"/>
      <c r="J20" s="399"/>
      <c r="K20" s="564"/>
      <c r="L20" s="2718"/>
      <c r="M20" s="2712"/>
      <c r="N20" s="2712"/>
      <c r="O20" s="2712"/>
      <c r="P20" s="3716"/>
      <c r="Q20" s="1348"/>
      <c r="R20" s="704"/>
      <c r="S20" s="705"/>
      <c r="T20" s="704"/>
      <c r="U20" s="705"/>
      <c r="V20" s="704"/>
      <c r="W20" s="705"/>
      <c r="X20" s="1351"/>
      <c r="Y20" s="3718"/>
      <c r="Z20" s="1352"/>
      <c r="AA20" s="1349">
        <v>1</v>
      </c>
      <c r="AB20" s="1349">
        <v>1</v>
      </c>
      <c r="AC20" s="1958">
        <v>1</v>
      </c>
    </row>
    <row r="21" spans="1:29" ht="28.5">
      <c r="A21" s="379"/>
      <c r="B21" s="580" t="s">
        <v>1810</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16"/>
      <c r="Q21" s="1348" t="str">
        <f>B21</f>
        <v>基础设施水平</v>
      </c>
      <c r="R21" s="704" t="s">
        <v>14</v>
      </c>
      <c r="S21" s="705">
        <f>F21</f>
        <v>100</v>
      </c>
      <c r="T21" s="704" t="s">
        <v>14</v>
      </c>
      <c r="U21" s="705">
        <f>H21</f>
        <v>100</v>
      </c>
      <c r="V21" s="704" t="s">
        <v>14</v>
      </c>
      <c r="W21" s="705">
        <f>J21</f>
        <v>100</v>
      </c>
      <c r="X21" s="1351"/>
      <c r="Y21" s="3718"/>
      <c r="Z21" s="1352" t="str">
        <f>Q21</f>
        <v>基础设施水平</v>
      </c>
      <c r="AA21" s="1349">
        <f t="shared" ref="AA21" si="8">D21/F21</f>
        <v>1</v>
      </c>
      <c r="AB21" s="1349">
        <f t="shared" ref="AB21" si="9">D21/H21</f>
        <v>1</v>
      </c>
      <c r="AC21" s="1958">
        <f t="shared" ref="AC21" si="10">D21/J21</f>
        <v>1</v>
      </c>
    </row>
    <row r="22" spans="1:29" ht="15">
      <c r="A22" s="379"/>
      <c r="B22" s="580"/>
      <c r="C22" s="1960"/>
      <c r="D22" s="399"/>
      <c r="E22" s="398"/>
      <c r="F22" s="399"/>
      <c r="G22" s="1900"/>
      <c r="H22" s="399"/>
      <c r="I22" s="1900"/>
      <c r="J22" s="399"/>
      <c r="K22" s="1126"/>
      <c r="L22" s="2718"/>
      <c r="M22" s="2712"/>
      <c r="N22" s="2712"/>
      <c r="O22" s="2712"/>
      <c r="P22" s="3716"/>
      <c r="Q22" s="1348"/>
      <c r="R22" s="704"/>
      <c r="S22" s="705"/>
      <c r="T22" s="704"/>
      <c r="U22" s="705"/>
      <c r="V22" s="704"/>
      <c r="W22" s="705"/>
      <c r="X22" s="1351"/>
      <c r="Y22" s="3718"/>
      <c r="Z22" s="1352"/>
      <c r="AA22" s="1349">
        <v>1</v>
      </c>
      <c r="AB22" s="1349">
        <v>1</v>
      </c>
      <c r="AC22" s="1958">
        <v>1</v>
      </c>
    </row>
    <row r="23" spans="1:29" ht="42.75">
      <c r="A23" s="379"/>
      <c r="B23" s="578" t="s">
        <v>1811</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16"/>
      <c r="Q23" s="1348" t="str">
        <f>B23</f>
        <v>环境质量</v>
      </c>
      <c r="R23" s="704" t="s">
        <v>14</v>
      </c>
      <c r="S23" s="705">
        <f>F23</f>
        <v>100</v>
      </c>
      <c r="T23" s="704" t="s">
        <v>14</v>
      </c>
      <c r="U23" s="705">
        <f>H23</f>
        <v>100</v>
      </c>
      <c r="V23" s="704" t="s">
        <v>14</v>
      </c>
      <c r="W23" s="705">
        <f>J23</f>
        <v>100</v>
      </c>
      <c r="X23" s="1351"/>
      <c r="Y23" s="3718"/>
      <c r="Z23" s="1352" t="str">
        <f>Q23</f>
        <v>环境质量</v>
      </c>
      <c r="AA23" s="1349">
        <f t="shared" si="3"/>
        <v>1</v>
      </c>
      <c r="AB23" s="1349">
        <f t="shared" si="4"/>
        <v>1</v>
      </c>
      <c r="AC23" s="1958">
        <f t="shared" si="5"/>
        <v>1</v>
      </c>
    </row>
    <row r="24" spans="1:29" ht="15">
      <c r="A24" s="379"/>
      <c r="B24" s="580"/>
      <c r="C24" s="1900"/>
      <c r="D24" s="399"/>
      <c r="E24" s="1893"/>
      <c r="F24" s="399"/>
      <c r="G24" s="1894"/>
      <c r="H24" s="399"/>
      <c r="I24" s="1894"/>
      <c r="J24" s="399"/>
      <c r="K24" s="564"/>
      <c r="L24" s="2718"/>
      <c r="M24" s="2712"/>
      <c r="N24" s="2712"/>
      <c r="O24" s="2712"/>
      <c r="P24" s="3716"/>
      <c r="Q24" s="1348"/>
      <c r="R24" s="704"/>
      <c r="S24" s="705"/>
      <c r="T24" s="704"/>
      <c r="U24" s="705"/>
      <c r="V24" s="704"/>
      <c r="W24" s="705"/>
      <c r="X24" s="1351"/>
      <c r="Y24" s="3718"/>
      <c r="Z24" s="1352"/>
      <c r="AA24" s="1349">
        <v>1</v>
      </c>
      <c r="AB24" s="1349">
        <v>1</v>
      </c>
      <c r="AC24" s="1958">
        <v>1</v>
      </c>
    </row>
    <row r="25" spans="1:29" ht="27">
      <c r="A25" s="358"/>
      <c r="B25" s="578"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16"/>
      <c r="Q25" s="1348" t="str">
        <f>B25</f>
        <v>毗邻道路的类型与等级</v>
      </c>
      <c r="R25" s="704" t="s">
        <v>14</v>
      </c>
      <c r="S25" s="705">
        <f>F25</f>
        <v>100</v>
      </c>
      <c r="T25" s="704" t="s">
        <v>14</v>
      </c>
      <c r="U25" s="705">
        <f>H25</f>
        <v>100</v>
      </c>
      <c r="V25" s="704" t="s">
        <v>14</v>
      </c>
      <c r="W25" s="705">
        <f>J25</f>
        <v>100</v>
      </c>
      <c r="X25" s="1351"/>
      <c r="Y25" s="3718"/>
      <c r="Z25" s="1352" t="str">
        <f>Q25</f>
        <v>毗邻道路的类型与等级</v>
      </c>
      <c r="AA25" s="1349">
        <f t="shared" si="3"/>
        <v>1</v>
      </c>
      <c r="AB25" s="1349">
        <f t="shared" si="4"/>
        <v>1</v>
      </c>
      <c r="AC25" s="1958">
        <f t="shared" si="5"/>
        <v>1</v>
      </c>
    </row>
    <row r="26" spans="1:29" ht="15">
      <c r="A26" s="358"/>
      <c r="B26" s="579"/>
      <c r="C26" s="581"/>
      <c r="D26" s="386"/>
      <c r="E26" s="565"/>
      <c r="F26" s="386"/>
      <c r="G26" s="581"/>
      <c r="H26" s="386"/>
      <c r="I26" s="565"/>
      <c r="J26" s="386"/>
      <c r="K26" s="564"/>
      <c r="L26" s="2718"/>
      <c r="M26" s="2712"/>
      <c r="N26" s="2712"/>
      <c r="O26" s="2712"/>
      <c r="P26" s="3716"/>
      <c r="Q26" s="1348"/>
      <c r="R26" s="704"/>
      <c r="S26" s="705"/>
      <c r="T26" s="704"/>
      <c r="U26" s="705"/>
      <c r="V26" s="704"/>
      <c r="W26" s="705"/>
      <c r="X26" s="1351"/>
      <c r="Y26" s="3718"/>
      <c r="Z26" s="1352"/>
      <c r="AA26" s="1349">
        <v>1</v>
      </c>
      <c r="AB26" s="1349">
        <v>1</v>
      </c>
      <c r="AC26" s="1958">
        <v>1</v>
      </c>
    </row>
    <row r="27" spans="1:29" ht="15">
      <c r="A27" s="379"/>
      <c r="B27" s="579" t="s">
        <v>1780</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16"/>
      <c r="Q27" s="1348" t="str">
        <f t="shared" ref="Q27:Q47" si="11">B27</f>
        <v>楼层</v>
      </c>
      <c r="R27" s="704" t="s">
        <v>14</v>
      </c>
      <c r="S27" s="705">
        <f>F27</f>
        <v>100</v>
      </c>
      <c r="T27" s="704" t="s">
        <v>14</v>
      </c>
      <c r="U27" s="705">
        <f>H27</f>
        <v>100</v>
      </c>
      <c r="V27" s="704" t="s">
        <v>14</v>
      </c>
      <c r="W27" s="705">
        <f>J27</f>
        <v>100</v>
      </c>
      <c r="X27" s="1351"/>
      <c r="Y27" s="3718"/>
      <c r="Z27" s="1352" t="str">
        <f>Q27</f>
        <v>楼层</v>
      </c>
      <c r="AA27" s="1349">
        <f t="shared" si="3"/>
        <v>1</v>
      </c>
      <c r="AB27" s="1349">
        <f t="shared" si="4"/>
        <v>1</v>
      </c>
      <c r="AC27" s="1958">
        <f t="shared" si="5"/>
        <v>1</v>
      </c>
    </row>
    <row r="28" spans="1:29" s="108" customFormat="1" ht="15">
      <c r="A28" s="382"/>
      <c r="B28" s="578" t="s">
        <v>1813</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16"/>
      <c r="Q28" s="1339" t="str">
        <f t="shared" si="11"/>
        <v>朝向</v>
      </c>
      <c r="R28" s="700" t="s">
        <v>14</v>
      </c>
      <c r="S28" s="701">
        <f>F28</f>
        <v>100</v>
      </c>
      <c r="T28" s="700" t="s">
        <v>14</v>
      </c>
      <c r="U28" s="701">
        <f>H28</f>
        <v>100</v>
      </c>
      <c r="V28" s="700" t="s">
        <v>14</v>
      </c>
      <c r="W28" s="701">
        <f>J28</f>
        <v>100</v>
      </c>
      <c r="X28" s="702"/>
      <c r="Y28" s="3718"/>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16"/>
      <c r="Q29" s="1348">
        <f t="shared" si="11"/>
        <v>111</v>
      </c>
      <c r="R29" s="704" t="s">
        <v>14</v>
      </c>
      <c r="S29" s="705">
        <f t="shared" ref="S29:S47" si="12">F29</f>
        <v>100</v>
      </c>
      <c r="T29" s="704" t="s">
        <v>14</v>
      </c>
      <c r="U29" s="705">
        <f t="shared" ref="U29:U47" si="13">H29</f>
        <v>100</v>
      </c>
      <c r="V29" s="704" t="s">
        <v>14</v>
      </c>
      <c r="W29" s="705">
        <f t="shared" ref="W29:W47" si="14">J29</f>
        <v>100</v>
      </c>
      <c r="X29" s="1351"/>
      <c r="Y29" s="3718"/>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16"/>
      <c r="Q30" s="1348">
        <f t="shared" si="11"/>
        <v>111</v>
      </c>
      <c r="R30" s="704" t="s">
        <v>14</v>
      </c>
      <c r="S30" s="705">
        <f t="shared" si="12"/>
        <v>100</v>
      </c>
      <c r="T30" s="704" t="s">
        <v>14</v>
      </c>
      <c r="U30" s="705">
        <f t="shared" si="13"/>
        <v>100</v>
      </c>
      <c r="V30" s="704" t="s">
        <v>14</v>
      </c>
      <c r="W30" s="705">
        <f t="shared" si="14"/>
        <v>100</v>
      </c>
      <c r="X30" s="1351"/>
      <c r="Y30" s="3718"/>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16"/>
      <c r="Q31" s="1348">
        <f t="shared" si="11"/>
        <v>111</v>
      </c>
      <c r="R31" s="704" t="s">
        <v>14</v>
      </c>
      <c r="S31" s="705">
        <f t="shared" si="12"/>
        <v>100</v>
      </c>
      <c r="T31" s="704" t="s">
        <v>14</v>
      </c>
      <c r="U31" s="705">
        <f t="shared" si="13"/>
        <v>100</v>
      </c>
      <c r="V31" s="704" t="s">
        <v>14</v>
      </c>
      <c r="W31" s="705">
        <f t="shared" si="14"/>
        <v>100</v>
      </c>
      <c r="X31" s="1351"/>
      <c r="Y31" s="3718"/>
      <c r="Z31" s="1352">
        <f t="shared" si="15"/>
        <v>111</v>
      </c>
      <c r="AA31" s="1349">
        <f t="shared" si="3"/>
        <v>1</v>
      </c>
      <c r="AB31" s="1349">
        <f t="shared" si="4"/>
        <v>1</v>
      </c>
      <c r="AC31" s="1958">
        <f t="shared" si="5"/>
        <v>1</v>
      </c>
    </row>
    <row r="32" spans="1:29" ht="15.75" thickBot="1">
      <c r="A32" s="387"/>
      <c r="B32" s="582">
        <v>111</v>
      </c>
      <c r="C32" s="1905"/>
      <c r="D32" s="389">
        <v>100</v>
      </c>
      <c r="E32" s="575"/>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16"/>
      <c r="Q32" s="1348">
        <f t="shared" si="11"/>
        <v>111</v>
      </c>
      <c r="R32" s="704" t="s">
        <v>14</v>
      </c>
      <c r="S32" s="705">
        <f t="shared" si="12"/>
        <v>100</v>
      </c>
      <c r="T32" s="704" t="s">
        <v>14</v>
      </c>
      <c r="U32" s="705">
        <f t="shared" si="13"/>
        <v>100</v>
      </c>
      <c r="V32" s="704" t="s">
        <v>14</v>
      </c>
      <c r="W32" s="705">
        <f t="shared" si="14"/>
        <v>100</v>
      </c>
      <c r="X32" s="1351"/>
      <c r="Y32" s="3718"/>
      <c r="Z32" s="1352">
        <f t="shared" si="15"/>
        <v>111</v>
      </c>
      <c r="AA32" s="1349">
        <f t="shared" si="3"/>
        <v>1</v>
      </c>
      <c r="AB32" s="1349">
        <f t="shared" si="4"/>
        <v>1</v>
      </c>
      <c r="AC32" s="1958">
        <f t="shared" si="5"/>
        <v>1</v>
      </c>
    </row>
    <row r="33" spans="1:29" ht="15">
      <c r="A33" s="391" t="s">
        <v>1691</v>
      </c>
      <c r="B33" s="63" t="s">
        <v>1814</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19" t="s">
        <v>1693</v>
      </c>
      <c r="Q33" s="1348" t="str">
        <f t="shared" si="11"/>
        <v>建筑类型</v>
      </c>
      <c r="R33" s="704" t="s">
        <v>14</v>
      </c>
      <c r="S33" s="705">
        <f t="shared" si="12"/>
        <v>100</v>
      </c>
      <c r="T33" s="704" t="s">
        <v>14</v>
      </c>
      <c r="U33" s="705">
        <f t="shared" si="13"/>
        <v>100</v>
      </c>
      <c r="V33" s="704" t="s">
        <v>14</v>
      </c>
      <c r="W33" s="705">
        <f t="shared" si="14"/>
        <v>100</v>
      </c>
      <c r="X33" s="1351"/>
      <c r="Y33" s="3722" t="s">
        <v>1693</v>
      </c>
      <c r="Z33" s="1352" t="str">
        <f t="shared" si="15"/>
        <v>建筑类型</v>
      </c>
      <c r="AA33" s="1349">
        <f t="shared" si="3"/>
        <v>1</v>
      </c>
      <c r="AB33" s="1349">
        <f t="shared" si="4"/>
        <v>1</v>
      </c>
      <c r="AC33" s="1958">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20"/>
      <c r="Q34" s="706" t="str">
        <f t="shared" si="11"/>
        <v>项目建筑规模</v>
      </c>
      <c r="R34" s="707" t="s">
        <v>14</v>
      </c>
      <c r="S34" s="708" t="e">
        <f t="shared" si="12"/>
        <v>#N/A</v>
      </c>
      <c r="T34" s="707" t="s">
        <v>14</v>
      </c>
      <c r="U34" s="708" t="e">
        <f t="shared" si="13"/>
        <v>#N/A</v>
      </c>
      <c r="V34" s="707" t="s">
        <v>14</v>
      </c>
      <c r="W34" s="708" t="e">
        <f t="shared" si="14"/>
        <v>#N/A</v>
      </c>
      <c r="X34" s="709"/>
      <c r="Y34" s="3722"/>
      <c r="Z34" s="710" t="str">
        <f t="shared" si="15"/>
        <v>项目建筑规模</v>
      </c>
      <c r="AA34" s="1349" t="e">
        <f t="shared" si="3"/>
        <v>#N/A</v>
      </c>
      <c r="AB34" s="1349" t="e">
        <f t="shared" si="4"/>
        <v>#N/A</v>
      </c>
      <c r="AC34" s="1958"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20"/>
      <c r="Q35" s="1348" t="str">
        <f t="shared" si="11"/>
        <v>建筑结构</v>
      </c>
      <c r="R35" s="704" t="s">
        <v>14</v>
      </c>
      <c r="S35" s="705">
        <f t="shared" si="12"/>
        <v>100</v>
      </c>
      <c r="T35" s="704" t="s">
        <v>14</v>
      </c>
      <c r="U35" s="705">
        <f t="shared" si="13"/>
        <v>100</v>
      </c>
      <c r="V35" s="704" t="s">
        <v>14</v>
      </c>
      <c r="W35" s="705">
        <f t="shared" si="14"/>
        <v>100</v>
      </c>
      <c r="X35" s="1351"/>
      <c r="Y35" s="3722"/>
      <c r="Z35" s="1352" t="str">
        <f t="shared" si="15"/>
        <v>建筑结构</v>
      </c>
      <c r="AA35" s="1349">
        <f t="shared" si="3"/>
        <v>1</v>
      </c>
      <c r="AB35" s="1349">
        <f t="shared" si="4"/>
        <v>1</v>
      </c>
      <c r="AC35" s="1958">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20"/>
      <c r="Q36" s="1348" t="str">
        <f t="shared" si="11"/>
        <v>公共部分装修</v>
      </c>
      <c r="R36" s="704" t="s">
        <v>14</v>
      </c>
      <c r="S36" s="705">
        <f t="shared" si="12"/>
        <v>100</v>
      </c>
      <c r="T36" s="704" t="s">
        <v>14</v>
      </c>
      <c r="U36" s="705">
        <f t="shared" si="13"/>
        <v>100</v>
      </c>
      <c r="V36" s="704" t="s">
        <v>14</v>
      </c>
      <c r="W36" s="705">
        <f t="shared" si="14"/>
        <v>100</v>
      </c>
      <c r="X36" s="1351"/>
      <c r="Y36" s="3722"/>
      <c r="Z36" s="1352" t="str">
        <f t="shared" si="15"/>
        <v>公共部分装修</v>
      </c>
      <c r="AA36" s="1349">
        <f t="shared" si="3"/>
        <v>1</v>
      </c>
      <c r="AB36" s="1349">
        <f t="shared" si="4"/>
        <v>1</v>
      </c>
      <c r="AC36" s="1958">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20"/>
      <c r="Q37" s="1348" t="str">
        <f t="shared" si="11"/>
        <v>成新度</v>
      </c>
      <c r="R37" s="704" t="s">
        <v>14</v>
      </c>
      <c r="S37" s="705" t="e">
        <f t="shared" si="12"/>
        <v>#N/A</v>
      </c>
      <c r="T37" s="704" t="s">
        <v>14</v>
      </c>
      <c r="U37" s="705" t="e">
        <f t="shared" si="13"/>
        <v>#N/A</v>
      </c>
      <c r="V37" s="704" t="s">
        <v>14</v>
      </c>
      <c r="W37" s="705" t="e">
        <f t="shared" si="14"/>
        <v>#N/A</v>
      </c>
      <c r="X37" s="1351"/>
      <c r="Y37" s="3722"/>
      <c r="Z37" s="1352" t="str">
        <f t="shared" si="15"/>
        <v>成新度</v>
      </c>
      <c r="AA37" s="1349" t="e">
        <f t="shared" si="3"/>
        <v>#N/A</v>
      </c>
      <c r="AB37" s="1349" t="e">
        <f t="shared" si="4"/>
        <v>#N/A</v>
      </c>
      <c r="AC37" s="1958"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0"/>
      <c r="Q38" s="1339" t="str">
        <f t="shared" si="11"/>
        <v>写字楼等级</v>
      </c>
      <c r="R38" s="700" t="s">
        <v>14</v>
      </c>
      <c r="S38" s="701">
        <f t="shared" si="12"/>
        <v>100</v>
      </c>
      <c r="T38" s="700" t="s">
        <v>14</v>
      </c>
      <c r="U38" s="701">
        <f t="shared" si="13"/>
        <v>100</v>
      </c>
      <c r="V38" s="700" t="s">
        <v>14</v>
      </c>
      <c r="W38" s="701">
        <f t="shared" si="14"/>
        <v>100</v>
      </c>
      <c r="X38" s="702"/>
      <c r="Y38" s="3722"/>
      <c r="Z38" s="52" t="str">
        <f t="shared" si="15"/>
        <v>写字楼等级</v>
      </c>
      <c r="AA38" s="703">
        <f t="shared" si="3"/>
        <v>1</v>
      </c>
      <c r="AB38" s="703">
        <f t="shared" si="4"/>
        <v>1</v>
      </c>
      <c r="AC38" s="1955">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20" t="s">
        <v>1693</v>
      </c>
      <c r="Q39" s="1348" t="str">
        <f t="shared" si="11"/>
        <v>物业管理</v>
      </c>
      <c r="R39" s="704" t="s">
        <v>14</v>
      </c>
      <c r="S39" s="705">
        <f t="shared" si="12"/>
        <v>100</v>
      </c>
      <c r="T39" s="704" t="s">
        <v>14</v>
      </c>
      <c r="U39" s="705">
        <f t="shared" si="13"/>
        <v>100</v>
      </c>
      <c r="V39" s="704" t="s">
        <v>14</v>
      </c>
      <c r="W39" s="705">
        <f t="shared" si="14"/>
        <v>100</v>
      </c>
      <c r="X39" s="1351"/>
      <c r="Y39" s="3722" t="s">
        <v>1693</v>
      </c>
      <c r="Z39" s="1352" t="str">
        <f t="shared" si="15"/>
        <v>物业管理</v>
      </c>
      <c r="AA39" s="1349">
        <f t="shared" si="3"/>
        <v>1</v>
      </c>
      <c r="AB39" s="1349">
        <f t="shared" si="4"/>
        <v>1</v>
      </c>
      <c r="AC39" s="1958">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20"/>
      <c r="Q40" s="1348" t="str">
        <f t="shared" si="11"/>
        <v>市政基础设施</v>
      </c>
      <c r="R40" s="704" t="s">
        <v>14</v>
      </c>
      <c r="S40" s="705">
        <f t="shared" si="12"/>
        <v>100</v>
      </c>
      <c r="T40" s="704" t="s">
        <v>14</v>
      </c>
      <c r="U40" s="705">
        <f t="shared" si="13"/>
        <v>100</v>
      </c>
      <c r="V40" s="704" t="s">
        <v>14</v>
      </c>
      <c r="W40" s="705">
        <f t="shared" si="14"/>
        <v>100</v>
      </c>
      <c r="X40" s="1351"/>
      <c r="Y40" s="3722"/>
      <c r="Z40" s="1352" t="str">
        <f t="shared" si="15"/>
        <v>市政基础设施</v>
      </c>
      <c r="AA40" s="1349">
        <f t="shared" si="3"/>
        <v>1</v>
      </c>
      <c r="AB40" s="1349">
        <f t="shared" si="4"/>
        <v>1</v>
      </c>
      <c r="AC40" s="1958">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20"/>
      <c r="Q41" s="1348" t="str">
        <f t="shared" si="11"/>
        <v>层高</v>
      </c>
      <c r="R41" s="704" t="s">
        <v>14</v>
      </c>
      <c r="S41" s="705">
        <f t="shared" si="12"/>
        <v>100</v>
      </c>
      <c r="T41" s="704" t="s">
        <v>14</v>
      </c>
      <c r="U41" s="705">
        <f t="shared" si="13"/>
        <v>100</v>
      </c>
      <c r="V41" s="704" t="s">
        <v>14</v>
      </c>
      <c r="W41" s="705">
        <f t="shared" si="14"/>
        <v>100</v>
      </c>
      <c r="X41" s="1351"/>
      <c r="Y41" s="3722"/>
      <c r="Z41" s="1352" t="str">
        <f t="shared" si="15"/>
        <v>层高</v>
      </c>
      <c r="AA41" s="1349">
        <f t="shared" si="3"/>
        <v>1</v>
      </c>
      <c r="AB41" s="1349">
        <f t="shared" si="4"/>
        <v>1</v>
      </c>
      <c r="AC41" s="1958">
        <f t="shared" si="5"/>
        <v>1</v>
      </c>
    </row>
    <row r="42" spans="1:29" s="422" customFormat="1" ht="15">
      <c r="A42" s="419"/>
      <c r="B42" s="13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0"/>
      <c r="Q42" s="706" t="str">
        <f t="shared" si="11"/>
        <v>单套建筑面积</v>
      </c>
      <c r="R42" s="707" t="s">
        <v>14</v>
      </c>
      <c r="S42" s="708">
        <f t="shared" si="12"/>
        <v>100</v>
      </c>
      <c r="T42" s="707" t="s">
        <v>14</v>
      </c>
      <c r="U42" s="708">
        <f t="shared" si="13"/>
        <v>100</v>
      </c>
      <c r="V42" s="707" t="s">
        <v>14</v>
      </c>
      <c r="W42" s="708">
        <f t="shared" si="14"/>
        <v>100</v>
      </c>
      <c r="X42" s="709"/>
      <c r="Y42" s="3722"/>
      <c r="Z42" s="710" t="str">
        <f t="shared" si="15"/>
        <v>单套建筑面积</v>
      </c>
      <c r="AA42" s="1349">
        <f t="shared" si="3"/>
        <v>1</v>
      </c>
      <c r="AB42" s="1349">
        <f t="shared" si="4"/>
        <v>1</v>
      </c>
      <c r="AC42" s="1958">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20"/>
      <c r="Q43" s="1348" t="str">
        <f t="shared" si="11"/>
        <v>内部装修</v>
      </c>
      <c r="R43" s="704" t="s">
        <v>14</v>
      </c>
      <c r="S43" s="705">
        <f t="shared" si="12"/>
        <v>100</v>
      </c>
      <c r="T43" s="704" t="s">
        <v>14</v>
      </c>
      <c r="U43" s="705">
        <f t="shared" si="13"/>
        <v>100</v>
      </c>
      <c r="V43" s="704" t="s">
        <v>14</v>
      </c>
      <c r="W43" s="705">
        <f t="shared" si="14"/>
        <v>100</v>
      </c>
      <c r="X43" s="1351"/>
      <c r="Y43" s="3722"/>
      <c r="Z43" s="1352" t="str">
        <f t="shared" si="15"/>
        <v>内部装修</v>
      </c>
      <c r="AA43" s="1349">
        <f t="shared" si="3"/>
        <v>1</v>
      </c>
      <c r="AB43" s="1349">
        <f t="shared" si="4"/>
        <v>1</v>
      </c>
      <c r="AC43" s="1958">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20"/>
      <c r="Q44" s="1348" t="str">
        <f t="shared" si="11"/>
        <v>内部装修维护情况</v>
      </c>
      <c r="R44" s="704" t="s">
        <v>14</v>
      </c>
      <c r="S44" s="705">
        <f t="shared" si="12"/>
        <v>100</v>
      </c>
      <c r="T44" s="704" t="s">
        <v>14</v>
      </c>
      <c r="U44" s="705">
        <f t="shared" si="13"/>
        <v>100</v>
      </c>
      <c r="V44" s="704" t="s">
        <v>14</v>
      </c>
      <c r="W44" s="705">
        <f t="shared" si="14"/>
        <v>100</v>
      </c>
      <c r="X44" s="1351"/>
      <c r="Y44" s="3722"/>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0"/>
      <c r="Q45" s="1339">
        <f t="shared" si="11"/>
        <v>111</v>
      </c>
      <c r="R45" s="700" t="s">
        <v>14</v>
      </c>
      <c r="S45" s="701">
        <f t="shared" si="12"/>
        <v>100</v>
      </c>
      <c r="T45" s="700" t="s">
        <v>14</v>
      </c>
      <c r="U45" s="701">
        <f t="shared" si="13"/>
        <v>100</v>
      </c>
      <c r="V45" s="700" t="s">
        <v>14</v>
      </c>
      <c r="W45" s="701">
        <f t="shared" si="14"/>
        <v>100</v>
      </c>
      <c r="X45" s="702"/>
      <c r="Y45" s="3722"/>
      <c r="Z45" s="52">
        <f t="shared" si="15"/>
        <v>111</v>
      </c>
      <c r="AA45" s="703">
        <f t="shared" si="3"/>
        <v>1</v>
      </c>
      <c r="AB45" s="703">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0"/>
      <c r="Q46" s="1348">
        <f t="shared" si="11"/>
        <v>111</v>
      </c>
      <c r="R46" s="704" t="s">
        <v>14</v>
      </c>
      <c r="S46" s="705">
        <f t="shared" si="12"/>
        <v>100</v>
      </c>
      <c r="T46" s="704" t="s">
        <v>14</v>
      </c>
      <c r="U46" s="705">
        <f t="shared" si="13"/>
        <v>100</v>
      </c>
      <c r="V46" s="704" t="s">
        <v>14</v>
      </c>
      <c r="W46" s="705">
        <f t="shared" si="14"/>
        <v>100</v>
      </c>
      <c r="X46" s="1351"/>
      <c r="Y46" s="3722"/>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1"/>
      <c r="Q47" s="1348">
        <f t="shared" si="11"/>
        <v>111</v>
      </c>
      <c r="R47" s="704" t="s">
        <v>14</v>
      </c>
      <c r="S47" s="705">
        <f t="shared" si="12"/>
        <v>100</v>
      </c>
      <c r="T47" s="704" t="s">
        <v>14</v>
      </c>
      <c r="U47" s="705">
        <f t="shared" si="13"/>
        <v>100</v>
      </c>
      <c r="V47" s="704" t="s">
        <v>14</v>
      </c>
      <c r="W47" s="705">
        <f t="shared" si="14"/>
        <v>100</v>
      </c>
      <c r="X47" s="1351"/>
      <c r="Y47" s="3723"/>
      <c r="Z47" s="1352">
        <f t="shared" si="15"/>
        <v>111</v>
      </c>
      <c r="AA47" s="1349">
        <f t="shared" si="3"/>
        <v>1</v>
      </c>
      <c r="AB47" s="1349">
        <f t="shared" si="4"/>
        <v>1</v>
      </c>
      <c r="AC47" s="1958">
        <f t="shared" si="5"/>
        <v>1</v>
      </c>
    </row>
    <row r="48" spans="1:29" ht="15">
      <c r="A48" s="430" t="s">
        <v>1705</v>
      </c>
      <c r="B48" s="431"/>
      <c r="C48" s="1150" t="s">
        <v>0</v>
      </c>
      <c r="D48" s="1151"/>
      <c r="E48" s="1152"/>
      <c r="F48" s="1153"/>
      <c r="G48" s="1154"/>
      <c r="H48" s="1155"/>
      <c r="I48" s="1152"/>
      <c r="J48" s="436"/>
      <c r="K48" s="713"/>
      <c r="L48" s="2720"/>
      <c r="M48" s="2712"/>
      <c r="N48" s="2712"/>
      <c r="O48" s="2712"/>
      <c r="P48" s="3725" t="str">
        <f>A48</f>
        <v>成交单价（元/平方米）</v>
      </c>
      <c r="Q48" s="3710"/>
      <c r="R48" s="3711">
        <f>E48</f>
        <v>0</v>
      </c>
      <c r="S48" s="3711"/>
      <c r="T48" s="3711">
        <f>G48</f>
        <v>0</v>
      </c>
      <c r="U48" s="3711"/>
      <c r="V48" s="3711">
        <f>I48</f>
        <v>0</v>
      </c>
      <c r="W48" s="3711"/>
      <c r="X48" s="397"/>
      <c r="Y48" s="711"/>
      <c r="Z48" s="397"/>
      <c r="AA48" s="397"/>
      <c r="AB48" s="397"/>
      <c r="AC48" s="577"/>
    </row>
    <row r="49" spans="1:29" ht="15.75" thickBot="1">
      <c r="A49" s="437" t="s">
        <v>1790</v>
      </c>
      <c r="B49" s="438"/>
      <c r="C49" s="1156" t="e">
        <f>R50</f>
        <v>#DIV/0!</v>
      </c>
      <c r="D49" s="2313" t="s">
        <v>2133</v>
      </c>
      <c r="E49" s="1157" t="e">
        <f>R49</f>
        <v>#DIV/0!</v>
      </c>
      <c r="F49" s="2314"/>
      <c r="G49" s="1156" t="e">
        <f>T49</f>
        <v>#DIV/0!</v>
      </c>
      <c r="H49" s="2314"/>
      <c r="I49" s="1157" t="e">
        <f>V49</f>
        <v>#DIV/0!</v>
      </c>
      <c r="J49" s="2314"/>
      <c r="K49" s="2316">
        <f>F49+H49+J49</f>
        <v>0</v>
      </c>
      <c r="L49" s="2720"/>
      <c r="M49" s="2712"/>
      <c r="N49" s="2712"/>
      <c r="O49" s="2712"/>
      <c r="P49" s="3725"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7"/>
      <c r="Y49" s="397"/>
      <c r="Z49" s="397"/>
      <c r="AA49" s="397"/>
      <c r="AB49" s="397"/>
      <c r="AC49" s="577"/>
    </row>
    <row r="50" spans="1:29" ht="15.75" thickBot="1">
      <c r="A50" s="441" t="s">
        <v>1791</v>
      </c>
      <c r="B50" s="442"/>
      <c r="C50" s="1159" t="e">
        <f>R50</f>
        <v>#DIV/0!</v>
      </c>
      <c r="D50" s="1159"/>
      <c r="E50" s="1159"/>
      <c r="F50" s="1159"/>
      <c r="G50" s="1159"/>
      <c r="H50" s="1159"/>
      <c r="I50" s="1159"/>
      <c r="J50" s="443"/>
      <c r="K50" s="714"/>
      <c r="L50" s="2720"/>
      <c r="M50" s="2712"/>
      <c r="N50" s="2712"/>
      <c r="O50" s="2712"/>
      <c r="P50" s="3775" t="str">
        <f>A50</f>
        <v>估价对象XX用房的比较价值（楼面单价，元/平方米）</v>
      </c>
      <c r="Q50" s="3776"/>
      <c r="R50" s="3777" t="e">
        <f>IF(F1="售价",ROUND(IF(D49="简单平均",AVERAGE(R49:V49),R49*F49+T49*H49+V49*J49),0),ROUND(IF(D49="简单平均",AVERAGE(R49:V49),R49*F49+T49*H49+V49*J49),1))</f>
        <v>#DIV/0!</v>
      </c>
      <c r="S50" s="3777"/>
      <c r="T50" s="3777"/>
      <c r="U50" s="3777"/>
      <c r="V50" s="3777"/>
      <c r="W50" s="3777"/>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1795</v>
      </c>
      <c r="B58" s="689"/>
      <c r="C58" s="694"/>
      <c r="D58" s="694"/>
      <c r="E58" s="694"/>
      <c r="F58" s="695"/>
      <c r="G58" s="695"/>
      <c r="H58" s="694"/>
      <c r="I58" s="694"/>
      <c r="J58" s="694"/>
      <c r="K58" s="696"/>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1676</v>
      </c>
      <c r="B59" s="455"/>
      <c r="C59" s="1180" t="str">
        <f>YEAR(C7)&amp;"-"&amp;MONTH(C7)</f>
        <v>2024-6</v>
      </c>
      <c r="D59" s="1181">
        <f>EDATE(C59,-1)</f>
        <v>45413</v>
      </c>
      <c r="E59" s="1181">
        <f>EDATE(D59,-1)</f>
        <v>45383</v>
      </c>
      <c r="F59" s="1181">
        <f t="shared" ref="F59:O59" si="16">EDATE(E59,-1)</f>
        <v>45352</v>
      </c>
      <c r="G59" s="1181">
        <f t="shared" si="16"/>
        <v>45323</v>
      </c>
      <c r="H59" s="1181">
        <f t="shared" si="16"/>
        <v>45292</v>
      </c>
      <c r="I59" s="1181">
        <f t="shared" si="16"/>
        <v>45261</v>
      </c>
      <c r="J59" s="1181">
        <f t="shared" si="16"/>
        <v>45231</v>
      </c>
      <c r="K59" s="1181">
        <f t="shared" si="16"/>
        <v>45200</v>
      </c>
      <c r="L59" s="1181">
        <f t="shared" si="16"/>
        <v>45170</v>
      </c>
      <c r="M59" s="1181">
        <f t="shared" si="16"/>
        <v>45139</v>
      </c>
      <c r="N59" s="1181">
        <f t="shared" si="16"/>
        <v>45108</v>
      </c>
      <c r="O59" s="1181">
        <f t="shared" si="16"/>
        <v>45078</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1713</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1678</v>
      </c>
      <c r="B62" s="459"/>
      <c r="C62" s="471" t="s">
        <v>1773</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1716</v>
      </c>
      <c r="B64" s="477" t="s">
        <v>1682</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1685</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1687</v>
      </c>
      <c r="B77" s="477" t="s">
        <v>1818</v>
      </c>
      <c r="C77" s="522" t="s">
        <v>1718</v>
      </c>
      <c r="D77" s="522" t="s">
        <v>1719</v>
      </c>
      <c r="E77" s="522" t="s">
        <v>1720</v>
      </c>
      <c r="F77" s="522" t="s">
        <v>1721</v>
      </c>
      <c r="G77" s="522" t="s">
        <v>1722</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1723</v>
      </c>
      <c r="C79" s="527" t="s">
        <v>1718</v>
      </c>
      <c r="D79" s="527" t="s">
        <v>1719</v>
      </c>
      <c r="E79" s="527" t="s">
        <v>1720</v>
      </c>
      <c r="F79" s="527" t="s">
        <v>1721</v>
      </c>
      <c r="G79" s="527" t="s">
        <v>1722</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1724</v>
      </c>
      <c r="C81" s="527" t="s">
        <v>1718</v>
      </c>
      <c r="D81" s="527" t="s">
        <v>1719</v>
      </c>
      <c r="E81" s="527" t="s">
        <v>1720</v>
      </c>
      <c r="F81" s="527" t="s">
        <v>1721</v>
      </c>
      <c r="G81" s="527" t="s">
        <v>1722</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1810</v>
      </c>
      <c r="C83" s="607" t="s">
        <v>1796</v>
      </c>
      <c r="D83" s="607" t="s">
        <v>1797</v>
      </c>
      <c r="E83" s="607" t="s">
        <v>1798</v>
      </c>
      <c r="F83" s="607" t="s">
        <v>1799</v>
      </c>
      <c r="G83" s="607" t="s">
        <v>1800</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1819</v>
      </c>
      <c r="C85" s="527" t="s">
        <v>1718</v>
      </c>
      <c r="D85" s="527" t="s">
        <v>1719</v>
      </c>
      <c r="E85" s="527" t="s">
        <v>1720</v>
      </c>
      <c r="F85" s="527" t="s">
        <v>1721</v>
      </c>
      <c r="G85" s="527" t="s">
        <v>1722</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1820</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1691</v>
      </c>
      <c r="B101" s="477" t="s">
        <v>1733</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1735</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1737</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1821</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1738</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1739</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1822</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1805</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1741</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1823</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20228.239999999998</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1766</v>
      </c>
      <c r="B4" s="356"/>
      <c r="C4" s="3729" t="s">
        <v>1767</v>
      </c>
      <c r="D4" s="3730"/>
      <c r="E4" s="3731" t="s">
        <v>1768</v>
      </c>
      <c r="F4" s="3732"/>
      <c r="G4" s="3729" t="s">
        <v>1769</v>
      </c>
      <c r="H4" s="3730"/>
      <c r="I4" s="3729" t="s">
        <v>1770</v>
      </c>
      <c r="J4" s="3730"/>
      <c r="K4" s="559" t="s">
        <v>1771</v>
      </c>
      <c r="L4" s="909"/>
      <c r="M4" s="910"/>
      <c r="N4" s="910"/>
      <c r="O4" s="910"/>
      <c r="P4" s="3733" t="s">
        <v>1772</v>
      </c>
      <c r="Q4" s="3734"/>
      <c r="R4" s="3739" t="s">
        <v>1768</v>
      </c>
      <c r="S4" s="3740"/>
      <c r="T4" s="3739" t="s">
        <v>1769</v>
      </c>
      <c r="U4" s="3740"/>
      <c r="V4" s="3724" t="s">
        <v>1770</v>
      </c>
      <c r="W4" s="3724"/>
      <c r="X4" s="1351"/>
      <c r="Y4" s="3739" t="s">
        <v>1772</v>
      </c>
      <c r="Z4" s="3740"/>
      <c r="AA4" s="3726" t="s">
        <v>1768</v>
      </c>
      <c r="AB4" s="3727" t="s">
        <v>1769</v>
      </c>
      <c r="AC4" s="3726" t="s">
        <v>1770</v>
      </c>
    </row>
    <row r="5" spans="1:29" ht="15">
      <c r="A5" s="358"/>
      <c r="B5" s="359"/>
      <c r="C5" s="3747" t="s">
        <v>1670</v>
      </c>
      <c r="D5" s="3748"/>
      <c r="E5" s="3754" t="s">
        <v>1671</v>
      </c>
      <c r="F5" s="3755"/>
      <c r="G5" s="3747" t="s">
        <v>1672</v>
      </c>
      <c r="H5" s="3748"/>
      <c r="I5" s="3747" t="s">
        <v>1673</v>
      </c>
      <c r="J5" s="3748"/>
      <c r="K5" s="559"/>
      <c r="L5" s="909"/>
      <c r="M5" s="910"/>
      <c r="N5" s="910"/>
      <c r="O5" s="910"/>
      <c r="P5" s="3735"/>
      <c r="Q5" s="3736"/>
      <c r="R5" s="3741"/>
      <c r="S5" s="3742"/>
      <c r="T5" s="3741"/>
      <c r="U5" s="3742"/>
      <c r="V5" s="3724"/>
      <c r="W5" s="3724"/>
      <c r="X5" s="1351"/>
      <c r="Y5" s="3741"/>
      <c r="Z5" s="3742"/>
      <c r="AA5" s="3727"/>
      <c r="AB5" s="3727"/>
      <c r="AC5" s="3727"/>
    </row>
    <row r="6" spans="1:29" ht="15.75" thickBot="1">
      <c r="A6" s="360"/>
      <c r="B6" s="361"/>
      <c r="C6" s="3745" t="s">
        <v>1674</v>
      </c>
      <c r="D6" s="3746"/>
      <c r="E6" s="3752" t="s">
        <v>1674</v>
      </c>
      <c r="F6" s="3753"/>
      <c r="G6" s="3745" t="s">
        <v>1674</v>
      </c>
      <c r="H6" s="3746"/>
      <c r="I6" s="3745" t="s">
        <v>1674</v>
      </c>
      <c r="J6" s="3746"/>
      <c r="K6" s="559" t="s">
        <v>1675</v>
      </c>
      <c r="L6" s="909"/>
      <c r="M6" s="910"/>
      <c r="N6" s="910"/>
      <c r="O6" s="910"/>
      <c r="P6" s="3737"/>
      <c r="Q6" s="3738"/>
      <c r="R6" s="3741"/>
      <c r="S6" s="3742"/>
      <c r="T6" s="3743"/>
      <c r="U6" s="3744"/>
      <c r="V6" s="3724"/>
      <c r="W6" s="3724"/>
      <c r="X6" s="1351"/>
      <c r="Y6" s="3743"/>
      <c r="Z6" s="3744"/>
      <c r="AA6" s="3728"/>
      <c r="AB6" s="3728"/>
      <c r="AC6" s="3728"/>
    </row>
    <row r="7" spans="1:29" s="108" customFormat="1" ht="15.75" thickBot="1">
      <c r="A7" s="362" t="s">
        <v>1676</v>
      </c>
      <c r="B7" s="363"/>
      <c r="C7" s="364">
        <f>'数据-取费表'!B2</f>
        <v>45467</v>
      </c>
      <c r="D7" s="365">
        <v>100</v>
      </c>
      <c r="E7" s="366"/>
      <c r="F7" s="367">
        <f>SUMIF(52:52,YEAR(E7)&amp;"-"&amp;MONTH(E7),53:53)</f>
        <v>0</v>
      </c>
      <c r="G7" s="366"/>
      <c r="H7" s="365">
        <f>SUMIF(52:52,YEAR(G7)&amp;"-"&amp;MONTH(G7),53:53)</f>
        <v>0</v>
      </c>
      <c r="I7" s="366"/>
      <c r="J7" s="365">
        <f>SUMIF(52:52,YEAR(I7)&amp;"-"&amp;MONTH(I7),53:53)</f>
        <v>0</v>
      </c>
      <c r="K7" s="560"/>
      <c r="L7" s="911"/>
      <c r="M7" s="912"/>
      <c r="N7" s="912"/>
      <c r="O7" s="912"/>
      <c r="P7" s="3749" t="s">
        <v>1677</v>
      </c>
      <c r="Q7" s="3751"/>
      <c r="R7" s="700" t="s">
        <v>14</v>
      </c>
      <c r="S7" s="701">
        <f t="shared" ref="S7:S15" si="0">F7</f>
        <v>0</v>
      </c>
      <c r="T7" s="700" t="s">
        <v>14</v>
      </c>
      <c r="U7" s="701">
        <f t="shared" ref="U7:U15" si="1">H7</f>
        <v>0</v>
      </c>
      <c r="V7" s="700" t="s">
        <v>14</v>
      </c>
      <c r="W7" s="701">
        <f t="shared" ref="W7:W15" si="2">J7</f>
        <v>0</v>
      </c>
      <c r="X7" s="702"/>
      <c r="Y7" s="3749" t="s">
        <v>1677</v>
      </c>
      <c r="Z7" s="3750"/>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49" t="s">
        <v>1680</v>
      </c>
      <c r="Q8" s="3750"/>
      <c r="R8" s="700" t="s">
        <v>14</v>
      </c>
      <c r="S8" s="701">
        <f t="shared" si="0"/>
        <v>100</v>
      </c>
      <c r="T8" s="700" t="s">
        <v>14</v>
      </c>
      <c r="U8" s="701">
        <f t="shared" si="1"/>
        <v>100</v>
      </c>
      <c r="V8" s="700" t="s">
        <v>14</v>
      </c>
      <c r="W8" s="701">
        <f t="shared" si="2"/>
        <v>100</v>
      </c>
      <c r="X8" s="702"/>
      <c r="Y8" s="3749" t="s">
        <v>1680</v>
      </c>
      <c r="Z8" s="3750"/>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10" t="s">
        <v>1683</v>
      </c>
      <c r="Q9" s="1339" t="str">
        <f t="shared" ref="Q9:Q15" si="6">B9</f>
        <v>用途</v>
      </c>
      <c r="R9" s="700" t="s">
        <v>14</v>
      </c>
      <c r="S9" s="701">
        <f t="shared" si="0"/>
        <v>100</v>
      </c>
      <c r="T9" s="700" t="s">
        <v>14</v>
      </c>
      <c r="U9" s="701">
        <f t="shared" si="1"/>
        <v>100</v>
      </c>
      <c r="V9" s="700" t="s">
        <v>14</v>
      </c>
      <c r="W9" s="701">
        <f t="shared" si="2"/>
        <v>100</v>
      </c>
      <c r="X9" s="702"/>
      <c r="Y9" s="360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4"/>
      <c r="M10" s="915"/>
      <c r="N10" s="915"/>
      <c r="O10" s="916"/>
      <c r="P10" s="3710"/>
      <c r="Q10" s="1339" t="str">
        <f t="shared" si="6"/>
        <v>土地使用年限（年）</v>
      </c>
      <c r="R10" s="700" t="s">
        <v>14</v>
      </c>
      <c r="S10" s="701">
        <f t="shared" si="0"/>
        <v>100</v>
      </c>
      <c r="T10" s="700" t="s">
        <v>14</v>
      </c>
      <c r="U10" s="701">
        <f t="shared" si="1"/>
        <v>100</v>
      </c>
      <c r="V10" s="700" t="s">
        <v>14</v>
      </c>
      <c r="W10" s="701">
        <f t="shared" si="2"/>
        <v>100</v>
      </c>
      <c r="X10" s="702"/>
      <c r="Y10" s="3607"/>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10"/>
      <c r="Q11" s="1339" t="str">
        <f t="shared" si="6"/>
        <v>容积率</v>
      </c>
      <c r="R11" s="700" t="s">
        <v>14</v>
      </c>
      <c r="S11" s="701">
        <f t="shared" si="0"/>
        <v>100</v>
      </c>
      <c r="T11" s="700" t="s">
        <v>14</v>
      </c>
      <c r="U11" s="701">
        <f t="shared" si="1"/>
        <v>100</v>
      </c>
      <c r="V11" s="700" t="s">
        <v>14</v>
      </c>
      <c r="W11" s="701">
        <f t="shared" si="2"/>
        <v>100</v>
      </c>
      <c r="X11" s="702"/>
      <c r="Y11" s="3607"/>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10"/>
      <c r="Q12" s="1339">
        <f t="shared" si="6"/>
        <v>111</v>
      </c>
      <c r="R12" s="700" t="s">
        <v>14</v>
      </c>
      <c r="S12" s="701">
        <f t="shared" si="0"/>
        <v>100</v>
      </c>
      <c r="T12" s="700" t="s">
        <v>14</v>
      </c>
      <c r="U12" s="701">
        <f t="shared" si="1"/>
        <v>100</v>
      </c>
      <c r="V12" s="700" t="s">
        <v>14</v>
      </c>
      <c r="W12" s="701">
        <f t="shared" si="2"/>
        <v>100</v>
      </c>
      <c r="X12" s="702"/>
      <c r="Y12" s="3607"/>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10"/>
      <c r="Q13" s="1339">
        <f t="shared" si="6"/>
        <v>111</v>
      </c>
      <c r="R13" s="700" t="s">
        <v>14</v>
      </c>
      <c r="S13" s="701">
        <f t="shared" si="0"/>
        <v>100</v>
      </c>
      <c r="T13" s="700" t="s">
        <v>14</v>
      </c>
      <c r="U13" s="701">
        <f t="shared" si="1"/>
        <v>100</v>
      </c>
      <c r="V13" s="700" t="s">
        <v>14</v>
      </c>
      <c r="W13" s="701">
        <f t="shared" si="2"/>
        <v>100</v>
      </c>
      <c r="X13" s="702"/>
      <c r="Y13" s="3607"/>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10"/>
      <c r="Q14" s="1339">
        <f t="shared" si="6"/>
        <v>111</v>
      </c>
      <c r="R14" s="700" t="s">
        <v>14</v>
      </c>
      <c r="S14" s="701">
        <f t="shared" si="0"/>
        <v>100</v>
      </c>
      <c r="T14" s="700" t="s">
        <v>14</v>
      </c>
      <c r="U14" s="701">
        <f t="shared" si="1"/>
        <v>100</v>
      </c>
      <c r="V14" s="700" t="s">
        <v>14</v>
      </c>
      <c r="W14" s="701">
        <f t="shared" si="2"/>
        <v>100</v>
      </c>
      <c r="X14" s="702"/>
      <c r="Y14" s="3607"/>
      <c r="Z14" s="52">
        <f t="shared" si="7"/>
        <v>111</v>
      </c>
      <c r="AA14" s="703">
        <f t="shared" si="3"/>
        <v>1</v>
      </c>
      <c r="AB14" s="703">
        <f t="shared" si="4"/>
        <v>1</v>
      </c>
      <c r="AC14" s="703">
        <f t="shared" si="5"/>
        <v>1</v>
      </c>
    </row>
    <row r="15" spans="1:29" ht="57">
      <c r="A15" s="391" t="s">
        <v>1687</v>
      </c>
      <c r="B15" s="61" t="s">
        <v>1824</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17" t="s">
        <v>1688</v>
      </c>
      <c r="Q15" s="1348" t="str">
        <f t="shared" si="6"/>
        <v>产业集聚程度</v>
      </c>
      <c r="R15" s="704" t="s">
        <v>14</v>
      </c>
      <c r="S15" s="705">
        <f t="shared" si="0"/>
        <v>100</v>
      </c>
      <c r="T15" s="704" t="s">
        <v>14</v>
      </c>
      <c r="U15" s="705">
        <f t="shared" si="1"/>
        <v>100</v>
      </c>
      <c r="V15" s="704" t="s">
        <v>14</v>
      </c>
      <c r="W15" s="705">
        <f t="shared" si="2"/>
        <v>100</v>
      </c>
      <c r="X15" s="1351"/>
      <c r="Y15" s="3717" t="s">
        <v>1688</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18"/>
      <c r="Q16" s="1348"/>
      <c r="R16" s="704"/>
      <c r="S16" s="705"/>
      <c r="T16" s="704"/>
      <c r="U16" s="705"/>
      <c r="V16" s="704"/>
      <c r="W16" s="705"/>
      <c r="X16" s="1351"/>
      <c r="Y16" s="3718"/>
      <c r="Z16" s="1352"/>
      <c r="AA16" s="1349">
        <v>1</v>
      </c>
      <c r="AB16" s="1349">
        <v>1</v>
      </c>
      <c r="AC16" s="1349">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18"/>
      <c r="Q17" s="1348" t="str">
        <f>B17</f>
        <v>交通便捷度</v>
      </c>
      <c r="R17" s="704" t="s">
        <v>14</v>
      </c>
      <c r="S17" s="705">
        <f>F17</f>
        <v>100</v>
      </c>
      <c r="T17" s="704" t="s">
        <v>14</v>
      </c>
      <c r="U17" s="705">
        <f>H17</f>
        <v>100</v>
      </c>
      <c r="V17" s="704" t="s">
        <v>14</v>
      </c>
      <c r="W17" s="705">
        <f>J17</f>
        <v>100</v>
      </c>
      <c r="X17" s="1351"/>
      <c r="Y17" s="3718"/>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18"/>
      <c r="Q18" s="1348"/>
      <c r="R18" s="704"/>
      <c r="S18" s="705"/>
      <c r="T18" s="704"/>
      <c r="U18" s="705"/>
      <c r="V18" s="704"/>
      <c r="W18" s="705"/>
      <c r="X18" s="1351"/>
      <c r="Y18" s="3718"/>
      <c r="Z18" s="1352"/>
      <c r="AA18" s="1349">
        <v>1</v>
      </c>
      <c r="AB18" s="1349">
        <v>1</v>
      </c>
      <c r="AC18" s="1349">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18"/>
      <c r="Q19" s="1348" t="str">
        <f>B19</f>
        <v>公共配套设施</v>
      </c>
      <c r="R19" s="704" t="s">
        <v>14</v>
      </c>
      <c r="S19" s="705">
        <f>F19</f>
        <v>100</v>
      </c>
      <c r="T19" s="704" t="s">
        <v>14</v>
      </c>
      <c r="U19" s="705">
        <f>H19</f>
        <v>100</v>
      </c>
      <c r="V19" s="704" t="s">
        <v>14</v>
      </c>
      <c r="W19" s="705">
        <f>J19</f>
        <v>100</v>
      </c>
      <c r="X19" s="1351"/>
      <c r="Y19" s="3718"/>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18"/>
      <c r="Q20" s="1348"/>
      <c r="R20" s="704"/>
      <c r="S20" s="705"/>
      <c r="T20" s="704"/>
      <c r="U20" s="705"/>
      <c r="V20" s="704"/>
      <c r="W20" s="705"/>
      <c r="X20" s="1351"/>
      <c r="Y20" s="3718"/>
      <c r="Z20" s="1352"/>
      <c r="AA20" s="1349">
        <v>1</v>
      </c>
      <c r="AB20" s="1349">
        <v>1</v>
      </c>
      <c r="AC20" s="1349">
        <v>1</v>
      </c>
    </row>
    <row r="21" spans="1:29" ht="28.5">
      <c r="A21" s="379"/>
      <c r="B21" s="1127"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18"/>
      <c r="Q21" s="1348" t="str">
        <f>B21</f>
        <v>基础设施水平</v>
      </c>
      <c r="R21" s="704" t="s">
        <v>14</v>
      </c>
      <c r="S21" s="705">
        <f>F21</f>
        <v>100</v>
      </c>
      <c r="T21" s="704" t="s">
        <v>14</v>
      </c>
      <c r="U21" s="705">
        <f>H21</f>
        <v>100</v>
      </c>
      <c r="V21" s="704" t="s">
        <v>14</v>
      </c>
      <c r="W21" s="705">
        <f>J21</f>
        <v>100</v>
      </c>
      <c r="X21" s="1351"/>
      <c r="Y21" s="3718"/>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18"/>
      <c r="Q22" s="1348"/>
      <c r="R22" s="704"/>
      <c r="S22" s="705"/>
      <c r="T22" s="704"/>
      <c r="U22" s="705"/>
      <c r="V22" s="704"/>
      <c r="W22" s="705"/>
      <c r="X22" s="1351"/>
      <c r="Y22" s="3718"/>
      <c r="Z22" s="1352"/>
      <c r="AA22" s="1349">
        <v>1</v>
      </c>
      <c r="AB22" s="1349">
        <v>1</v>
      </c>
      <c r="AC22" s="1349">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18"/>
      <c r="Q23" s="1348" t="str">
        <f>B23</f>
        <v>环境质量</v>
      </c>
      <c r="R23" s="704" t="s">
        <v>14</v>
      </c>
      <c r="S23" s="705">
        <f>F23</f>
        <v>100</v>
      </c>
      <c r="T23" s="704" t="s">
        <v>14</v>
      </c>
      <c r="U23" s="705">
        <f>H23</f>
        <v>100</v>
      </c>
      <c r="V23" s="704" t="s">
        <v>14</v>
      </c>
      <c r="W23" s="705">
        <f>J23</f>
        <v>100</v>
      </c>
      <c r="X23" s="1351"/>
      <c r="Y23" s="3718"/>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18"/>
      <c r="Q24" s="1348"/>
      <c r="R24" s="704"/>
      <c r="S24" s="705"/>
      <c r="T24" s="704"/>
      <c r="U24" s="705"/>
      <c r="V24" s="704"/>
      <c r="W24" s="705"/>
      <c r="X24" s="1351"/>
      <c r="Y24" s="3718"/>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18"/>
      <c r="Q25" s="1348">
        <f>B25</f>
        <v>111</v>
      </c>
      <c r="R25" s="704" t="s">
        <v>14</v>
      </c>
      <c r="S25" s="705">
        <f>F25</f>
        <v>100</v>
      </c>
      <c r="T25" s="704" t="s">
        <v>14</v>
      </c>
      <c r="U25" s="705">
        <f>H25</f>
        <v>100</v>
      </c>
      <c r="V25" s="704" t="s">
        <v>14</v>
      </c>
      <c r="W25" s="705">
        <f>J25</f>
        <v>100</v>
      </c>
      <c r="X25" s="1351"/>
      <c r="Y25" s="3718"/>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18"/>
      <c r="Q26" s="1348">
        <f t="shared" ref="Q26:Q40" si="11">B26</f>
        <v>111</v>
      </c>
      <c r="R26" s="704" t="s">
        <v>14</v>
      </c>
      <c r="S26" s="705">
        <f>F26</f>
        <v>100</v>
      </c>
      <c r="T26" s="704" t="s">
        <v>14</v>
      </c>
      <c r="U26" s="705">
        <f>H26</f>
        <v>100</v>
      </c>
      <c r="V26" s="704" t="s">
        <v>14</v>
      </c>
      <c r="W26" s="705">
        <f>J26</f>
        <v>100</v>
      </c>
      <c r="X26" s="1351"/>
      <c r="Y26" s="3718"/>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18"/>
      <c r="Q27" s="1339">
        <f t="shared" si="11"/>
        <v>111</v>
      </c>
      <c r="R27" s="700" t="s">
        <v>14</v>
      </c>
      <c r="S27" s="701">
        <f>F27</f>
        <v>100</v>
      </c>
      <c r="T27" s="700" t="s">
        <v>14</v>
      </c>
      <c r="U27" s="701">
        <f>H27</f>
        <v>100</v>
      </c>
      <c r="V27" s="700" t="s">
        <v>14</v>
      </c>
      <c r="W27" s="701">
        <f>J27</f>
        <v>100</v>
      </c>
      <c r="X27" s="702"/>
      <c r="Y27" s="3718"/>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18"/>
      <c r="Q28" s="1348">
        <f t="shared" si="11"/>
        <v>111</v>
      </c>
      <c r="R28" s="704" t="s">
        <v>14</v>
      </c>
      <c r="S28" s="705">
        <f t="shared" ref="S28:S40" si="12">F28</f>
        <v>100</v>
      </c>
      <c r="T28" s="704" t="s">
        <v>14</v>
      </c>
      <c r="U28" s="705">
        <f t="shared" ref="U28:U40" si="13">H28</f>
        <v>100</v>
      </c>
      <c r="V28" s="704" t="s">
        <v>14</v>
      </c>
      <c r="W28" s="705">
        <f t="shared" ref="W28:W40" si="14">J28</f>
        <v>100</v>
      </c>
      <c r="X28" s="1351"/>
      <c r="Y28" s="3718"/>
      <c r="Z28" s="1352">
        <f t="shared" ref="Z28:Z40" si="15">Q28</f>
        <v>111</v>
      </c>
      <c r="AA28" s="1349">
        <f t="shared" si="3"/>
        <v>1</v>
      </c>
      <c r="AB28" s="1349">
        <f t="shared" si="4"/>
        <v>1</v>
      </c>
      <c r="AC28" s="1349">
        <f t="shared" si="5"/>
        <v>1</v>
      </c>
    </row>
    <row r="29" spans="1:29" ht="28.5">
      <c r="A29" s="417" t="s">
        <v>1691</v>
      </c>
      <c r="B29" s="63" t="s">
        <v>1814</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90" t="s">
        <v>1693</v>
      </c>
      <c r="Q29" s="1348" t="str">
        <f t="shared" si="11"/>
        <v>建筑类型</v>
      </c>
      <c r="R29" s="704" t="s">
        <v>14</v>
      </c>
      <c r="S29" s="705">
        <f t="shared" si="12"/>
        <v>100</v>
      </c>
      <c r="T29" s="704" t="s">
        <v>14</v>
      </c>
      <c r="U29" s="705">
        <f t="shared" si="13"/>
        <v>100</v>
      </c>
      <c r="V29" s="704" t="s">
        <v>14</v>
      </c>
      <c r="W29" s="705">
        <f t="shared" si="14"/>
        <v>100</v>
      </c>
      <c r="X29" s="1351"/>
      <c r="Y29" s="3722" t="s">
        <v>1693</v>
      </c>
      <c r="Z29" s="1352" t="str">
        <f t="shared" si="15"/>
        <v>建筑类型</v>
      </c>
      <c r="AA29" s="1349">
        <f t="shared" si="3"/>
        <v>1</v>
      </c>
      <c r="AB29" s="1349">
        <f t="shared" si="4"/>
        <v>1</v>
      </c>
      <c r="AC29" s="1349">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22"/>
      <c r="Q30" s="706" t="str">
        <f t="shared" si="11"/>
        <v>项目建筑规模</v>
      </c>
      <c r="R30" s="707" t="s">
        <v>14</v>
      </c>
      <c r="S30" s="708" t="e">
        <f t="shared" si="12"/>
        <v>#N/A</v>
      </c>
      <c r="T30" s="707" t="s">
        <v>14</v>
      </c>
      <c r="U30" s="708" t="e">
        <f t="shared" si="13"/>
        <v>#N/A</v>
      </c>
      <c r="V30" s="707" t="s">
        <v>14</v>
      </c>
      <c r="W30" s="708" t="e">
        <f t="shared" si="14"/>
        <v>#N/A</v>
      </c>
      <c r="X30" s="709"/>
      <c r="Y30" s="3722"/>
      <c r="Z30" s="710" t="str">
        <f t="shared" si="15"/>
        <v>项目建筑规模</v>
      </c>
      <c r="AA30" s="1349" t="e">
        <f t="shared" si="3"/>
        <v>#N/A</v>
      </c>
      <c r="AB30" s="1349" t="e">
        <f t="shared" si="4"/>
        <v>#N/A</v>
      </c>
      <c r="AC30" s="1349"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22"/>
      <c r="Q31" s="1348" t="str">
        <f t="shared" si="11"/>
        <v>建筑结构</v>
      </c>
      <c r="R31" s="704" t="s">
        <v>14</v>
      </c>
      <c r="S31" s="705">
        <f t="shared" si="12"/>
        <v>100</v>
      </c>
      <c r="T31" s="704" t="s">
        <v>14</v>
      </c>
      <c r="U31" s="705">
        <f t="shared" si="13"/>
        <v>100</v>
      </c>
      <c r="V31" s="704" t="s">
        <v>14</v>
      </c>
      <c r="W31" s="705">
        <f t="shared" si="14"/>
        <v>100</v>
      </c>
      <c r="X31" s="1351"/>
      <c r="Y31" s="3722"/>
      <c r="Z31" s="1352" t="str">
        <f t="shared" si="15"/>
        <v>建筑结构</v>
      </c>
      <c r="AA31" s="1349">
        <f t="shared" si="3"/>
        <v>1</v>
      </c>
      <c r="AB31" s="1349">
        <f t="shared" si="4"/>
        <v>1</v>
      </c>
      <c r="AC31" s="1349">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22"/>
      <c r="Q32" s="1348" t="str">
        <f t="shared" si="11"/>
        <v>公共部分装修</v>
      </c>
      <c r="R32" s="704" t="s">
        <v>14</v>
      </c>
      <c r="S32" s="705">
        <f t="shared" si="12"/>
        <v>100</v>
      </c>
      <c r="T32" s="704" t="s">
        <v>14</v>
      </c>
      <c r="U32" s="705">
        <f t="shared" si="13"/>
        <v>100</v>
      </c>
      <c r="V32" s="704" t="s">
        <v>14</v>
      </c>
      <c r="W32" s="705">
        <f t="shared" si="14"/>
        <v>100</v>
      </c>
      <c r="X32" s="1351"/>
      <c r="Y32" s="3722"/>
      <c r="Z32" s="1352" t="str">
        <f t="shared" si="15"/>
        <v>公共部分装修</v>
      </c>
      <c r="AA32" s="1349">
        <f t="shared" si="3"/>
        <v>1</v>
      </c>
      <c r="AB32" s="1349">
        <f t="shared" si="4"/>
        <v>1</v>
      </c>
      <c r="AC32" s="1349">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22"/>
      <c r="Q33" s="1348" t="str">
        <f t="shared" si="11"/>
        <v>成新度</v>
      </c>
      <c r="R33" s="704" t="s">
        <v>14</v>
      </c>
      <c r="S33" s="705" t="e">
        <f t="shared" si="12"/>
        <v>#N/A</v>
      </c>
      <c r="T33" s="704" t="s">
        <v>14</v>
      </c>
      <c r="U33" s="705" t="e">
        <f t="shared" si="13"/>
        <v>#N/A</v>
      </c>
      <c r="V33" s="704" t="s">
        <v>14</v>
      </c>
      <c r="W33" s="705" t="e">
        <f t="shared" si="14"/>
        <v>#N/A</v>
      </c>
      <c r="X33" s="1351"/>
      <c r="Y33" s="3722"/>
      <c r="Z33" s="1352" t="str">
        <f t="shared" si="15"/>
        <v>成新度</v>
      </c>
      <c r="AA33" s="1349" t="e">
        <f t="shared" si="3"/>
        <v>#N/A</v>
      </c>
      <c r="AB33" s="1349" t="e">
        <f t="shared" si="4"/>
        <v>#N/A</v>
      </c>
      <c r="AC33" s="1349"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22"/>
      <c r="Q34" s="1339" t="str">
        <f t="shared" si="11"/>
        <v>物业管理</v>
      </c>
      <c r="R34" s="700" t="s">
        <v>14</v>
      </c>
      <c r="S34" s="701">
        <f t="shared" si="12"/>
        <v>100</v>
      </c>
      <c r="T34" s="700" t="s">
        <v>14</v>
      </c>
      <c r="U34" s="701">
        <f t="shared" si="13"/>
        <v>100</v>
      </c>
      <c r="V34" s="700" t="s">
        <v>14</v>
      </c>
      <c r="W34" s="701">
        <f t="shared" si="14"/>
        <v>100</v>
      </c>
      <c r="X34" s="702"/>
      <c r="Y34" s="3722"/>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22" t="s">
        <v>1693</v>
      </c>
      <c r="Q35" s="1348" t="str">
        <f t="shared" si="11"/>
        <v>市政基础设施</v>
      </c>
      <c r="R35" s="704" t="s">
        <v>14</v>
      </c>
      <c r="S35" s="705">
        <f t="shared" si="12"/>
        <v>100</v>
      </c>
      <c r="T35" s="704" t="s">
        <v>14</v>
      </c>
      <c r="U35" s="705">
        <f t="shared" si="13"/>
        <v>100</v>
      </c>
      <c r="V35" s="704" t="s">
        <v>14</v>
      </c>
      <c r="W35" s="705">
        <f t="shared" si="14"/>
        <v>100</v>
      </c>
      <c r="X35" s="1351"/>
      <c r="Y35" s="3722" t="s">
        <v>1693</v>
      </c>
      <c r="Z35" s="1352" t="str">
        <f t="shared" si="15"/>
        <v>市政基础设施</v>
      </c>
      <c r="AA35" s="1349">
        <f t="shared" si="3"/>
        <v>1</v>
      </c>
      <c r="AB35" s="1349">
        <f t="shared" si="4"/>
        <v>1</v>
      </c>
      <c r="AC35" s="1349">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22"/>
      <c r="Q36" s="1348" t="str">
        <f t="shared" si="11"/>
        <v>内部装修</v>
      </c>
      <c r="R36" s="704" t="s">
        <v>14</v>
      </c>
      <c r="S36" s="705">
        <f t="shared" si="12"/>
        <v>100</v>
      </c>
      <c r="T36" s="704" t="s">
        <v>14</v>
      </c>
      <c r="U36" s="705">
        <f t="shared" si="13"/>
        <v>100</v>
      </c>
      <c r="V36" s="704" t="s">
        <v>14</v>
      </c>
      <c r="W36" s="705">
        <f t="shared" si="14"/>
        <v>100</v>
      </c>
      <c r="X36" s="1351"/>
      <c r="Y36" s="3722"/>
      <c r="Z36" s="1352" t="str">
        <f t="shared" si="15"/>
        <v>内部装修</v>
      </c>
      <c r="AA36" s="1349">
        <f t="shared" si="3"/>
        <v>1</v>
      </c>
      <c r="AB36" s="1349">
        <f t="shared" si="4"/>
        <v>1</v>
      </c>
      <c r="AC36" s="1349">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22"/>
      <c r="Q37" s="1348" t="str">
        <f t="shared" si="11"/>
        <v>内部装修状况</v>
      </c>
      <c r="R37" s="704" t="s">
        <v>14</v>
      </c>
      <c r="S37" s="705">
        <f t="shared" si="12"/>
        <v>100</v>
      </c>
      <c r="T37" s="704" t="s">
        <v>14</v>
      </c>
      <c r="U37" s="705">
        <f t="shared" si="13"/>
        <v>100</v>
      </c>
      <c r="V37" s="704" t="s">
        <v>14</v>
      </c>
      <c r="W37" s="705">
        <f t="shared" si="14"/>
        <v>100</v>
      </c>
      <c r="X37" s="1351"/>
      <c r="Y37" s="3722"/>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22"/>
      <c r="Q38" s="706">
        <f t="shared" si="11"/>
        <v>111</v>
      </c>
      <c r="R38" s="707" t="s">
        <v>14</v>
      </c>
      <c r="S38" s="708">
        <f t="shared" si="12"/>
        <v>100</v>
      </c>
      <c r="T38" s="707" t="s">
        <v>14</v>
      </c>
      <c r="U38" s="708">
        <f t="shared" si="13"/>
        <v>100</v>
      </c>
      <c r="V38" s="707" t="s">
        <v>14</v>
      </c>
      <c r="W38" s="708">
        <f t="shared" si="14"/>
        <v>100</v>
      </c>
      <c r="X38" s="709"/>
      <c r="Y38" s="3722"/>
      <c r="Z38" s="710">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22"/>
      <c r="Q39" s="1348">
        <f t="shared" si="11"/>
        <v>111</v>
      </c>
      <c r="R39" s="704" t="s">
        <v>14</v>
      </c>
      <c r="S39" s="705">
        <f t="shared" si="12"/>
        <v>100</v>
      </c>
      <c r="T39" s="704" t="s">
        <v>14</v>
      </c>
      <c r="U39" s="705">
        <f t="shared" si="13"/>
        <v>100</v>
      </c>
      <c r="V39" s="704" t="s">
        <v>14</v>
      </c>
      <c r="W39" s="705">
        <f t="shared" si="14"/>
        <v>100</v>
      </c>
      <c r="X39" s="1351"/>
      <c r="Y39" s="3722"/>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23"/>
      <c r="Q40" s="1348">
        <f t="shared" si="11"/>
        <v>111</v>
      </c>
      <c r="R40" s="704" t="s">
        <v>14</v>
      </c>
      <c r="S40" s="705">
        <f t="shared" si="12"/>
        <v>100</v>
      </c>
      <c r="T40" s="704" t="s">
        <v>14</v>
      </c>
      <c r="U40" s="705">
        <f t="shared" si="13"/>
        <v>100</v>
      </c>
      <c r="V40" s="704" t="s">
        <v>14</v>
      </c>
      <c r="W40" s="705">
        <f t="shared" si="14"/>
        <v>100</v>
      </c>
      <c r="X40" s="1351"/>
      <c r="Y40" s="3723"/>
      <c r="Z40" s="1352">
        <f t="shared" si="15"/>
        <v>111</v>
      </c>
      <c r="AA40" s="1349">
        <f t="shared" si="3"/>
        <v>1</v>
      </c>
      <c r="AB40" s="1349">
        <f t="shared" si="4"/>
        <v>1</v>
      </c>
      <c r="AC40" s="1349">
        <f t="shared" si="5"/>
        <v>1</v>
      </c>
    </row>
    <row r="41" spans="1:29" ht="15">
      <c r="A41" s="430" t="s">
        <v>1705</v>
      </c>
      <c r="B41" s="431"/>
      <c r="C41" s="1150" t="s">
        <v>0</v>
      </c>
      <c r="D41" s="1151"/>
      <c r="E41" s="1152"/>
      <c r="F41" s="1153"/>
      <c r="G41" s="1154"/>
      <c r="H41" s="1155"/>
      <c r="I41" s="1152"/>
      <c r="J41" s="1155"/>
      <c r="K41" s="713"/>
      <c r="L41" s="922"/>
      <c r="M41" s="923"/>
      <c r="N41" s="910"/>
      <c r="O41" s="923"/>
      <c r="P41" s="3710" t="str">
        <f>A41</f>
        <v>成交单价（元/平方米）</v>
      </c>
      <c r="Q41" s="3710"/>
      <c r="R41" s="3711">
        <f>E41</f>
        <v>0</v>
      </c>
      <c r="S41" s="3711"/>
      <c r="T41" s="3711">
        <f>G41</f>
        <v>0</v>
      </c>
      <c r="U41" s="3711"/>
      <c r="V41" s="3711">
        <f>I41</f>
        <v>0</v>
      </c>
      <c r="W41" s="3711"/>
      <c r="X41" s="689"/>
      <c r="Y41" s="711"/>
      <c r="Z41" s="689"/>
      <c r="AA41" s="689"/>
      <c r="AB41" s="689"/>
      <c r="AC41" s="689"/>
    </row>
    <row r="42" spans="1:29" ht="15.75" thickBot="1">
      <c r="A42" s="437" t="s">
        <v>1790</v>
      </c>
      <c r="B42" s="438"/>
      <c r="C42" s="1156" t="e">
        <f>R43</f>
        <v>#DIV/0!</v>
      </c>
      <c r="D42" s="2313" t="s">
        <v>2133</v>
      </c>
      <c r="E42" s="1157" t="e">
        <f>R42</f>
        <v>#DIV/0!</v>
      </c>
      <c r="F42" s="2314"/>
      <c r="G42" s="1156" t="e">
        <f>T42</f>
        <v>#DIV/0!</v>
      </c>
      <c r="H42" s="2314"/>
      <c r="I42" s="1157" t="e">
        <f>V42</f>
        <v>#DIV/0!</v>
      </c>
      <c r="J42" s="2314"/>
      <c r="K42" s="2316">
        <f>F42+H42+J42</f>
        <v>0</v>
      </c>
      <c r="L42" s="922"/>
      <c r="M42" s="923"/>
      <c r="N42" s="910"/>
      <c r="O42" s="923"/>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89"/>
      <c r="Y42" s="689"/>
      <c r="Z42" s="689"/>
      <c r="AA42" s="689"/>
      <c r="AB42" s="689"/>
      <c r="AC42" s="689"/>
    </row>
    <row r="43" spans="1:29" ht="15.75" thickBot="1">
      <c r="A43" s="441" t="s">
        <v>1791</v>
      </c>
      <c r="B43" s="442"/>
      <c r="C43" s="1159" t="e">
        <f>R43</f>
        <v>#DIV/0!</v>
      </c>
      <c r="D43" s="1159"/>
      <c r="E43" s="1159"/>
      <c r="F43" s="1159"/>
      <c r="G43" s="1159"/>
      <c r="H43" s="1159"/>
      <c r="I43" s="1159"/>
      <c r="J43" s="1159"/>
      <c r="K43" s="714"/>
      <c r="L43" s="922"/>
      <c r="M43" s="923"/>
      <c r="N43" s="923"/>
      <c r="O43" s="923"/>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89"/>
      <c r="Y43" s="689"/>
      <c r="Z43" s="689"/>
      <c r="AA43" s="689"/>
      <c r="AB43" s="689"/>
      <c r="AC43" s="689"/>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3" t="s">
        <v>1795</v>
      </c>
      <c r="B51" s="689"/>
      <c r="C51" s="694"/>
      <c r="D51" s="694"/>
      <c r="E51" s="694"/>
      <c r="F51" s="695"/>
      <c r="G51" s="695"/>
      <c r="H51" s="694"/>
      <c r="I51" s="694"/>
      <c r="J51" s="694"/>
      <c r="K51" s="937"/>
      <c r="L51" s="938"/>
      <c r="M51" s="936"/>
      <c r="N51" s="936"/>
      <c r="O51" s="936"/>
      <c r="P51" s="452"/>
      <c r="Q51" s="453"/>
    </row>
    <row r="52" spans="1:17" s="457" customFormat="1" ht="15">
      <c r="A52" s="454" t="s">
        <v>1676</v>
      </c>
      <c r="B52" s="455"/>
      <c r="C52" s="1180" t="str">
        <f>YEAR(C7)&amp;"-"&amp;MONTH(C7)</f>
        <v>2024-6</v>
      </c>
      <c r="D52" s="1181">
        <f>EDATE(C52,-1)</f>
        <v>45413</v>
      </c>
      <c r="E52" s="1181">
        <f t="shared" ref="E52:O52" si="16">EDATE(D52,-1)</f>
        <v>45383</v>
      </c>
      <c r="F52" s="1181">
        <f t="shared" si="16"/>
        <v>45352</v>
      </c>
      <c r="G52" s="1181">
        <f t="shared" si="16"/>
        <v>45323</v>
      </c>
      <c r="H52" s="1181">
        <f t="shared" si="16"/>
        <v>45292</v>
      </c>
      <c r="I52" s="1181">
        <f t="shared" si="16"/>
        <v>45261</v>
      </c>
      <c r="J52" s="1181">
        <f t="shared" si="16"/>
        <v>45231</v>
      </c>
      <c r="K52" s="1181">
        <f t="shared" si="16"/>
        <v>45200</v>
      </c>
      <c r="L52" s="1181">
        <f t="shared" si="16"/>
        <v>45170</v>
      </c>
      <c r="M52" s="1181">
        <f t="shared" si="16"/>
        <v>45139</v>
      </c>
      <c r="N52" s="1181">
        <f t="shared" si="16"/>
        <v>45108</v>
      </c>
      <c r="O52" s="1181">
        <f t="shared" si="16"/>
        <v>45078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6"/>
      <c r="O54" s="2767"/>
      <c r="P54" s="453"/>
      <c r="Q54" s="453"/>
    </row>
    <row r="55" spans="1:17" s="108" customFormat="1" ht="15">
      <c r="A55" s="470" t="s">
        <v>1678</v>
      </c>
      <c r="B55" s="459"/>
      <c r="C55" s="471" t="s">
        <v>1773</v>
      </c>
      <c r="D55" s="472"/>
      <c r="E55" s="472"/>
      <c r="F55" s="472"/>
      <c r="G55" s="472"/>
      <c r="H55" s="472"/>
      <c r="I55" s="472"/>
      <c r="J55" s="472"/>
      <c r="K55" s="472"/>
      <c r="L55" s="473"/>
      <c r="M55" s="474"/>
      <c r="N55" s="928"/>
      <c r="O55" s="928"/>
      <c r="P55" s="475"/>
      <c r="Q55" s="453"/>
    </row>
    <row r="56" spans="1:17" s="108" customFormat="1" ht="15.75" thickBot="1">
      <c r="A56" s="470"/>
      <c r="B56" s="459"/>
      <c r="C56" s="586">
        <v>100</v>
      </c>
      <c r="D56" s="461"/>
      <c r="E56" s="461"/>
      <c r="F56" s="461"/>
      <c r="G56" s="461"/>
      <c r="H56" s="461"/>
      <c r="I56" s="461"/>
      <c r="J56" s="461"/>
      <c r="K56" s="461"/>
      <c r="L56" s="461"/>
      <c r="M56" s="463"/>
      <c r="N56" s="928"/>
      <c r="O56" s="928"/>
      <c r="P56" s="453"/>
      <c r="Q56" s="453"/>
    </row>
    <row r="57" spans="1:17">
      <c r="A57" s="476" t="s">
        <v>1716</v>
      </c>
      <c r="B57" s="477" t="s">
        <v>1682</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1685</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1810</v>
      </c>
      <c r="C76" s="607" t="s">
        <v>1796</v>
      </c>
      <c r="D76" s="607" t="s">
        <v>1797</v>
      </c>
      <c r="E76" s="607" t="s">
        <v>1798</v>
      </c>
      <c r="F76" s="607" t="s">
        <v>1799</v>
      </c>
      <c r="G76" s="607" t="s">
        <v>1800</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0"/>
      <c r="O77" s="930"/>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1691</v>
      </c>
      <c r="B88" s="477" t="s">
        <v>1733</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1735</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1737</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0"/>
      <c r="J98" s="570"/>
      <c r="K98" s="571"/>
      <c r="L98" s="572"/>
      <c r="M98" s="573"/>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1738</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1739</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1741</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3" t="s">
        <v>1827</v>
      </c>
      <c r="C106" s="527" t="s">
        <v>1718</v>
      </c>
      <c r="D106" s="527" t="s">
        <v>1719</v>
      </c>
      <c r="E106" s="527" t="s">
        <v>1720</v>
      </c>
      <c r="F106" s="527" t="s">
        <v>1721</v>
      </c>
      <c r="G106" s="527" t="s">
        <v>1722</v>
      </c>
      <c r="H106" s="488"/>
      <c r="I106" s="488"/>
      <c r="J106" s="488"/>
      <c r="K106" s="489"/>
      <c r="L106" s="490"/>
      <c r="M106" s="491"/>
      <c r="N106" s="930"/>
      <c r="O106" s="930"/>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3331</v>
      </c>
      <c r="C1" s="1220" t="s">
        <v>1659</v>
      </c>
      <c r="D1" s="1221"/>
      <c r="E1" s="3428"/>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8"/>
      <c r="R3" s="698"/>
      <c r="S3" s="698"/>
      <c r="T3" s="698"/>
      <c r="U3" s="698"/>
      <c r="V3" s="698"/>
      <c r="W3" s="698"/>
      <c r="X3" s="698"/>
      <c r="Y3" s="698"/>
      <c r="Z3" s="698"/>
      <c r="AA3" s="698"/>
      <c r="AB3" s="715"/>
      <c r="AC3" s="712"/>
    </row>
    <row r="4" spans="1:29" ht="15">
      <c r="A4" s="355" t="s">
        <v>1766</v>
      </c>
      <c r="B4" s="356"/>
      <c r="C4" s="3729" t="s">
        <v>1767</v>
      </c>
      <c r="D4" s="3730"/>
      <c r="E4" s="3731" t="s">
        <v>1768</v>
      </c>
      <c r="F4" s="3732"/>
      <c r="G4" s="3729" t="s">
        <v>1769</v>
      </c>
      <c r="H4" s="3730"/>
      <c r="I4" s="3729" t="s">
        <v>1770</v>
      </c>
      <c r="J4" s="3730"/>
      <c r="K4" s="559" t="s">
        <v>1771</v>
      </c>
      <c r="L4" s="2711"/>
      <c r="M4" s="2712"/>
      <c r="N4" s="2712"/>
      <c r="O4" s="2712"/>
      <c r="P4" s="3733" t="s">
        <v>1772</v>
      </c>
      <c r="Q4" s="3734"/>
      <c r="R4" s="3739" t="s">
        <v>1768</v>
      </c>
      <c r="S4" s="3740"/>
      <c r="T4" s="3739" t="s">
        <v>1769</v>
      </c>
      <c r="U4" s="3740"/>
      <c r="V4" s="3724" t="s">
        <v>1770</v>
      </c>
      <c r="W4" s="3724"/>
      <c r="X4" s="1351"/>
      <c r="Y4" s="3739" t="s">
        <v>1772</v>
      </c>
      <c r="Z4" s="3740"/>
      <c r="AA4" s="3726" t="s">
        <v>1768</v>
      </c>
      <c r="AB4" s="3727" t="s">
        <v>1769</v>
      </c>
      <c r="AC4" s="3726" t="s">
        <v>1770</v>
      </c>
    </row>
    <row r="5" spans="1:29" ht="15">
      <c r="A5" s="358"/>
      <c r="B5" s="359"/>
      <c r="C5" s="3747" t="s">
        <v>1670</v>
      </c>
      <c r="D5" s="3748"/>
      <c r="E5" s="3754" t="s">
        <v>1671</v>
      </c>
      <c r="F5" s="3755"/>
      <c r="G5" s="3747" t="s">
        <v>1672</v>
      </c>
      <c r="H5" s="3748"/>
      <c r="I5" s="3747" t="s">
        <v>1673</v>
      </c>
      <c r="J5" s="3748"/>
      <c r="K5" s="559"/>
      <c r="L5" s="2711"/>
      <c r="M5" s="2712"/>
      <c r="N5" s="2712"/>
      <c r="O5" s="2712"/>
      <c r="P5" s="3735"/>
      <c r="Q5" s="3736"/>
      <c r="R5" s="3741"/>
      <c r="S5" s="3742"/>
      <c r="T5" s="3741"/>
      <c r="U5" s="3742"/>
      <c r="V5" s="3724"/>
      <c r="W5" s="3724"/>
      <c r="X5" s="1351"/>
      <c r="Y5" s="3741"/>
      <c r="Z5" s="3742"/>
      <c r="AA5" s="3727"/>
      <c r="AB5" s="3727"/>
      <c r="AC5" s="3727"/>
    </row>
    <row r="6" spans="1:29" ht="15.75" thickBot="1">
      <c r="A6" s="360"/>
      <c r="B6" s="361"/>
      <c r="C6" s="3745" t="s">
        <v>1674</v>
      </c>
      <c r="D6" s="3746"/>
      <c r="E6" s="3752" t="s">
        <v>1674</v>
      </c>
      <c r="F6" s="3753"/>
      <c r="G6" s="3745" t="s">
        <v>1674</v>
      </c>
      <c r="H6" s="3746"/>
      <c r="I6" s="3745" t="s">
        <v>1674</v>
      </c>
      <c r="J6" s="3746"/>
      <c r="K6" s="559" t="s">
        <v>1675</v>
      </c>
      <c r="L6" s="2711"/>
      <c r="M6" s="2712"/>
      <c r="N6" s="2712"/>
      <c r="O6" s="2712"/>
      <c r="P6" s="3737"/>
      <c r="Q6" s="3738"/>
      <c r="R6" s="3741"/>
      <c r="S6" s="3742"/>
      <c r="T6" s="3743"/>
      <c r="U6" s="3744"/>
      <c r="V6" s="3724"/>
      <c r="W6" s="3724"/>
      <c r="X6" s="1351"/>
      <c r="Y6" s="3743"/>
      <c r="Z6" s="3744"/>
      <c r="AA6" s="3728"/>
      <c r="AB6" s="3728"/>
      <c r="AC6" s="3728"/>
    </row>
    <row r="7" spans="1:29" s="108" customFormat="1" ht="15.75" thickBot="1">
      <c r="A7" s="362" t="s">
        <v>1676</v>
      </c>
      <c r="B7" s="363"/>
      <c r="C7" s="364">
        <f>'数据-取费表'!B2</f>
        <v>45467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49" t="s">
        <v>1677</v>
      </c>
      <c r="Q7" s="3751"/>
      <c r="R7" s="700" t="s">
        <v>14</v>
      </c>
      <c r="S7" s="701">
        <f t="shared" ref="S7:S14" si="0">F7</f>
        <v>0</v>
      </c>
      <c r="T7" s="700" t="s">
        <v>14</v>
      </c>
      <c r="U7" s="701">
        <f t="shared" ref="U7:U14" si="1">H7</f>
        <v>0</v>
      </c>
      <c r="V7" s="700" t="s">
        <v>14</v>
      </c>
      <c r="W7" s="701">
        <f t="shared" ref="W7:W14" si="2">J7</f>
        <v>0</v>
      </c>
      <c r="X7" s="702"/>
      <c r="Y7" s="3749" t="s">
        <v>1677</v>
      </c>
      <c r="Z7" s="3750"/>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49" t="s">
        <v>1680</v>
      </c>
      <c r="Q8" s="3750"/>
      <c r="R8" s="700" t="s">
        <v>14</v>
      </c>
      <c r="S8" s="701">
        <f t="shared" si="0"/>
        <v>100</v>
      </c>
      <c r="T8" s="700" t="s">
        <v>14</v>
      </c>
      <c r="U8" s="701">
        <f t="shared" si="1"/>
        <v>100</v>
      </c>
      <c r="V8" s="700" t="s">
        <v>14</v>
      </c>
      <c r="W8" s="701">
        <f t="shared" si="2"/>
        <v>100</v>
      </c>
      <c r="X8" s="702"/>
      <c r="Y8" s="3749" t="s">
        <v>1680</v>
      </c>
      <c r="Z8" s="3750"/>
      <c r="AA8" s="703">
        <f t="shared" ref="AA8:AA36" si="3">D8/F8</f>
        <v>1</v>
      </c>
      <c r="AB8" s="703">
        <f t="shared" ref="AB8:AB36" si="4">D8/H8</f>
        <v>1</v>
      </c>
      <c r="AC8" s="703">
        <f t="shared" ref="AC8:AC36" si="5">D8/J8</f>
        <v>1</v>
      </c>
    </row>
    <row r="9" spans="1:29" s="108" customFormat="1">
      <c r="A9" s="60" t="s">
        <v>1681</v>
      </c>
      <c r="B9" s="587" t="s">
        <v>1682</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0" t="s">
        <v>1683</v>
      </c>
      <c r="Q9" s="1339" t="str">
        <f t="shared" ref="Q9:Q14" si="6">B9</f>
        <v>用途</v>
      </c>
      <c r="R9" s="700" t="s">
        <v>14</v>
      </c>
      <c r="S9" s="701">
        <f t="shared" si="0"/>
        <v>100</v>
      </c>
      <c r="T9" s="700" t="s">
        <v>14</v>
      </c>
      <c r="U9" s="701">
        <f t="shared" si="1"/>
        <v>100</v>
      </c>
      <c r="V9" s="700" t="s">
        <v>14</v>
      </c>
      <c r="W9" s="701">
        <f t="shared" si="2"/>
        <v>100</v>
      </c>
      <c r="X9" s="702"/>
      <c r="Y9" s="3607" t="s">
        <v>1684</v>
      </c>
      <c r="Z9" s="52" t="str">
        <f t="shared" ref="Z9:Z14" si="7">Q9</f>
        <v>用途</v>
      </c>
      <c r="AA9" s="703">
        <f t="shared" si="3"/>
        <v>1</v>
      </c>
      <c r="AB9" s="703">
        <f t="shared" si="4"/>
        <v>1</v>
      </c>
      <c r="AC9" s="703">
        <f t="shared" si="5"/>
        <v>1</v>
      </c>
    </row>
    <row r="10" spans="1:29" s="378" customFormat="1" ht="27">
      <c r="A10" s="588"/>
      <c r="B10" s="589"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5"/>
      <c r="M10" s="2716"/>
      <c r="N10" s="2716"/>
      <c r="O10" s="2716"/>
      <c r="P10" s="3710"/>
      <c r="Q10" s="1339" t="str">
        <f t="shared" si="6"/>
        <v>土地使用年限（年）</v>
      </c>
      <c r="R10" s="700" t="s">
        <v>14</v>
      </c>
      <c r="S10" s="701">
        <f t="shared" si="0"/>
        <v>100</v>
      </c>
      <c r="T10" s="700" t="s">
        <v>14</v>
      </c>
      <c r="U10" s="701">
        <f t="shared" si="1"/>
        <v>100</v>
      </c>
      <c r="V10" s="700" t="s">
        <v>14</v>
      </c>
      <c r="W10" s="701">
        <f t="shared" si="2"/>
        <v>100</v>
      </c>
      <c r="X10" s="702"/>
      <c r="Y10" s="3607"/>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0"/>
      <c r="Q11" s="1339">
        <f t="shared" si="6"/>
        <v>111</v>
      </c>
      <c r="R11" s="700" t="s">
        <v>14</v>
      </c>
      <c r="S11" s="701">
        <f t="shared" si="0"/>
        <v>100</v>
      </c>
      <c r="T11" s="700" t="s">
        <v>14</v>
      </c>
      <c r="U11" s="701">
        <f t="shared" si="1"/>
        <v>100</v>
      </c>
      <c r="V11" s="700" t="s">
        <v>14</v>
      </c>
      <c r="W11" s="701">
        <f t="shared" si="2"/>
        <v>100</v>
      </c>
      <c r="X11" s="702"/>
      <c r="Y11" s="3607"/>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0"/>
      <c r="Q12" s="1339">
        <f t="shared" si="6"/>
        <v>111</v>
      </c>
      <c r="R12" s="700" t="s">
        <v>14</v>
      </c>
      <c r="S12" s="701">
        <f t="shared" si="0"/>
        <v>100</v>
      </c>
      <c r="T12" s="700" t="s">
        <v>14</v>
      </c>
      <c r="U12" s="701">
        <f t="shared" si="1"/>
        <v>100</v>
      </c>
      <c r="V12" s="700" t="s">
        <v>14</v>
      </c>
      <c r="W12" s="701">
        <f t="shared" si="2"/>
        <v>100</v>
      </c>
      <c r="X12" s="702"/>
      <c r="Y12" s="3607"/>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0"/>
      <c r="Q13" s="1339">
        <f t="shared" si="6"/>
        <v>111</v>
      </c>
      <c r="R13" s="700" t="s">
        <v>14</v>
      </c>
      <c r="S13" s="701">
        <f t="shared" si="0"/>
        <v>100</v>
      </c>
      <c r="T13" s="700" t="s">
        <v>14</v>
      </c>
      <c r="U13" s="701">
        <f t="shared" si="1"/>
        <v>100</v>
      </c>
      <c r="V13" s="700" t="s">
        <v>14</v>
      </c>
      <c r="W13" s="701">
        <f t="shared" si="2"/>
        <v>100</v>
      </c>
      <c r="X13" s="702"/>
      <c r="Y13" s="3607"/>
      <c r="Z13" s="52">
        <f t="shared" si="7"/>
        <v>111</v>
      </c>
      <c r="AA13" s="703">
        <f t="shared" si="3"/>
        <v>1</v>
      </c>
      <c r="AB13" s="703">
        <f t="shared" si="4"/>
        <v>1</v>
      </c>
      <c r="AC13" s="703">
        <f t="shared" si="5"/>
        <v>1</v>
      </c>
    </row>
    <row r="14" spans="1:29" ht="85.5">
      <c r="A14" s="355" t="s">
        <v>1687</v>
      </c>
      <c r="B14" s="576" t="s">
        <v>1830</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7" t="s">
        <v>1688</v>
      </c>
      <c r="Q14" s="1348" t="str">
        <f t="shared" si="6"/>
        <v>交通便捷度</v>
      </c>
      <c r="R14" s="704" t="s">
        <v>14</v>
      </c>
      <c r="S14" s="705">
        <f t="shared" si="0"/>
        <v>100</v>
      </c>
      <c r="T14" s="704" t="s">
        <v>14</v>
      </c>
      <c r="U14" s="705">
        <f t="shared" si="1"/>
        <v>100</v>
      </c>
      <c r="V14" s="704" t="s">
        <v>14</v>
      </c>
      <c r="W14" s="705">
        <f t="shared" si="2"/>
        <v>100</v>
      </c>
      <c r="X14" s="1351"/>
      <c r="Y14" s="3717" t="s">
        <v>1688</v>
      </c>
      <c r="Z14" s="1352" t="str">
        <f t="shared" si="7"/>
        <v>交通便捷度</v>
      </c>
      <c r="AA14" s="1349">
        <f t="shared" si="3"/>
        <v>1</v>
      </c>
      <c r="AB14" s="1349">
        <f t="shared" si="4"/>
        <v>1</v>
      </c>
      <c r="AC14" s="1349">
        <f t="shared" si="5"/>
        <v>1</v>
      </c>
    </row>
    <row r="15" spans="1:29" ht="15">
      <c r="A15" s="358"/>
      <c r="B15" s="594"/>
      <c r="C15" s="398"/>
      <c r="D15" s="399"/>
      <c r="E15" s="398"/>
      <c r="F15" s="400"/>
      <c r="G15" s="398"/>
      <c r="H15" s="401"/>
      <c r="I15" s="398"/>
      <c r="J15" s="399"/>
      <c r="K15" s="564"/>
      <c r="L15" s="2718"/>
      <c r="M15" s="2712"/>
      <c r="N15" s="2712"/>
      <c r="O15" s="2712"/>
      <c r="P15" s="3718"/>
      <c r="Q15" s="1348"/>
      <c r="R15" s="704"/>
      <c r="S15" s="705"/>
      <c r="T15" s="704"/>
      <c r="U15" s="705"/>
      <c r="V15" s="704"/>
      <c r="W15" s="705"/>
      <c r="X15" s="1351"/>
      <c r="Y15" s="3718"/>
      <c r="Z15" s="1352"/>
      <c r="AA15" s="1349">
        <v>1</v>
      </c>
      <c r="AB15" s="1349">
        <v>1</v>
      </c>
      <c r="AC15" s="1349">
        <v>1</v>
      </c>
    </row>
    <row r="16" spans="1:29" ht="42.75">
      <c r="A16" s="358"/>
      <c r="B16" s="578"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18"/>
      <c r="Q16" s="1348" t="str">
        <f>B16</f>
        <v>公共配套设施</v>
      </c>
      <c r="R16" s="704" t="s">
        <v>14</v>
      </c>
      <c r="S16" s="705">
        <f>F16</f>
        <v>100</v>
      </c>
      <c r="T16" s="704" t="s">
        <v>14</v>
      </c>
      <c r="U16" s="705">
        <f>H16</f>
        <v>100</v>
      </c>
      <c r="V16" s="704" t="s">
        <v>14</v>
      </c>
      <c r="W16" s="705">
        <f>J16</f>
        <v>100</v>
      </c>
      <c r="X16" s="1351"/>
      <c r="Y16" s="3718"/>
      <c r="Z16" s="1352" t="str">
        <f>Q16</f>
        <v>公共配套设施</v>
      </c>
      <c r="AA16" s="1349">
        <f t="shared" si="3"/>
        <v>1</v>
      </c>
      <c r="AB16" s="1349">
        <f t="shared" si="4"/>
        <v>1</v>
      </c>
      <c r="AC16" s="1349">
        <f t="shared" si="5"/>
        <v>1</v>
      </c>
    </row>
    <row r="17" spans="1:29" ht="15">
      <c r="A17" s="358"/>
      <c r="B17" s="579"/>
      <c r="C17" s="1897"/>
      <c r="D17" s="399"/>
      <c r="E17" s="398"/>
      <c r="F17" s="400"/>
      <c r="G17" s="398"/>
      <c r="H17" s="399"/>
      <c r="I17" s="398"/>
      <c r="J17" s="399"/>
      <c r="K17" s="564"/>
      <c r="L17" s="2718"/>
      <c r="M17" s="2712"/>
      <c r="N17" s="2712"/>
      <c r="O17" s="2712"/>
      <c r="P17" s="3718"/>
      <c r="Q17" s="1348"/>
      <c r="R17" s="704"/>
      <c r="S17" s="705"/>
      <c r="T17" s="704"/>
      <c r="U17" s="705"/>
      <c r="V17" s="704"/>
      <c r="W17" s="705"/>
      <c r="X17" s="1351"/>
      <c r="Y17" s="3718"/>
      <c r="Z17" s="1352"/>
      <c r="AA17" s="1349">
        <v>1</v>
      </c>
      <c r="AB17" s="1349">
        <v>1</v>
      </c>
      <c r="AC17" s="1349">
        <v>1</v>
      </c>
    </row>
    <row r="18" spans="1:29" ht="28.5">
      <c r="A18" s="358"/>
      <c r="B18" s="580"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18"/>
      <c r="Q18" s="1348" t="str">
        <f>B18</f>
        <v>基础设施水平</v>
      </c>
      <c r="R18" s="704" t="s">
        <v>14</v>
      </c>
      <c r="S18" s="705">
        <f>F18</f>
        <v>100</v>
      </c>
      <c r="T18" s="704" t="s">
        <v>14</v>
      </c>
      <c r="U18" s="705">
        <f>H18</f>
        <v>100</v>
      </c>
      <c r="V18" s="704" t="s">
        <v>14</v>
      </c>
      <c r="W18" s="705">
        <f>J18</f>
        <v>100</v>
      </c>
      <c r="X18" s="1351"/>
      <c r="Y18" s="3718"/>
      <c r="Z18" s="1352" t="str">
        <f>Q18</f>
        <v>基础设施水平</v>
      </c>
      <c r="AA18" s="1349">
        <f t="shared" ref="AA18" si="8">D18/F18</f>
        <v>1</v>
      </c>
      <c r="AB18" s="1349">
        <f t="shared" ref="AB18" si="9">D18/H18</f>
        <v>1</v>
      </c>
      <c r="AC18" s="1349">
        <f t="shared" ref="AC18" si="10">D18/J18</f>
        <v>1</v>
      </c>
    </row>
    <row r="19" spans="1:29" ht="15">
      <c r="A19" s="358"/>
      <c r="B19" s="580"/>
      <c r="C19" s="1897"/>
      <c r="D19" s="401"/>
      <c r="E19" s="1897"/>
      <c r="F19" s="404"/>
      <c r="G19" s="1897"/>
      <c r="H19" s="399"/>
      <c r="I19" s="398"/>
      <c r="J19" s="399"/>
      <c r="K19" s="1126"/>
      <c r="L19" s="2718"/>
      <c r="M19" s="2712"/>
      <c r="N19" s="2712"/>
      <c r="O19" s="2712"/>
      <c r="P19" s="3718"/>
      <c r="Q19" s="1348"/>
      <c r="R19" s="704"/>
      <c r="S19" s="705"/>
      <c r="T19" s="704"/>
      <c r="U19" s="705"/>
      <c r="V19" s="704"/>
      <c r="W19" s="705"/>
      <c r="X19" s="1351"/>
      <c r="Y19" s="3718"/>
      <c r="Z19" s="1352"/>
      <c r="AA19" s="1349">
        <v>1</v>
      </c>
      <c r="AB19" s="1349">
        <v>1</v>
      </c>
      <c r="AC19" s="1349">
        <v>1</v>
      </c>
    </row>
    <row r="20" spans="1:29" ht="57">
      <c r="A20" s="358"/>
      <c r="B20" s="578"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18"/>
      <c r="Q20" s="1348" t="str">
        <f>B20</f>
        <v>自然及人文环境</v>
      </c>
      <c r="R20" s="704" t="s">
        <v>14</v>
      </c>
      <c r="S20" s="705">
        <f>F20</f>
        <v>100</v>
      </c>
      <c r="T20" s="704" t="s">
        <v>14</v>
      </c>
      <c r="U20" s="705">
        <f>H20</f>
        <v>100</v>
      </c>
      <c r="V20" s="704" t="s">
        <v>14</v>
      </c>
      <c r="W20" s="705">
        <f>J20</f>
        <v>100</v>
      </c>
      <c r="X20" s="1351"/>
      <c r="Y20" s="3718"/>
      <c r="Z20" s="1352" t="str">
        <f>Q20</f>
        <v>自然及人文环境</v>
      </c>
      <c r="AA20" s="1349">
        <f t="shared" si="3"/>
        <v>1</v>
      </c>
      <c r="AB20" s="1349">
        <f t="shared" si="4"/>
        <v>1</v>
      </c>
      <c r="AC20" s="1349">
        <f t="shared" si="5"/>
        <v>1</v>
      </c>
    </row>
    <row r="21" spans="1:29" ht="15">
      <c r="A21" s="358"/>
      <c r="B21" s="579"/>
      <c r="C21" s="398"/>
      <c r="D21" s="399"/>
      <c r="E21" s="398"/>
      <c r="F21" s="400"/>
      <c r="G21" s="398"/>
      <c r="H21" s="399"/>
      <c r="I21" s="398"/>
      <c r="J21" s="399"/>
      <c r="K21" s="564"/>
      <c r="L21" s="2718"/>
      <c r="M21" s="2712"/>
      <c r="N21" s="2712"/>
      <c r="O21" s="2712"/>
      <c r="P21" s="3718"/>
      <c r="Q21" s="1348"/>
      <c r="R21" s="704"/>
      <c r="S21" s="705"/>
      <c r="T21" s="704"/>
      <c r="U21" s="705"/>
      <c r="V21" s="704"/>
      <c r="W21" s="705"/>
      <c r="X21" s="1351"/>
      <c r="Y21" s="3718"/>
      <c r="Z21" s="1352"/>
      <c r="AA21" s="1349">
        <v>1</v>
      </c>
      <c r="AB21" s="1349">
        <v>1</v>
      </c>
      <c r="AC21" s="1349">
        <v>1</v>
      </c>
    </row>
    <row r="22" spans="1:29" ht="15">
      <c r="A22" s="358"/>
      <c r="B22" s="578" t="s">
        <v>1832</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18"/>
      <c r="Q22" s="1348" t="str">
        <f>B22</f>
        <v>楼层</v>
      </c>
      <c r="R22" s="704" t="s">
        <v>14</v>
      </c>
      <c r="S22" s="705">
        <f>F22</f>
        <v>100</v>
      </c>
      <c r="T22" s="704" t="s">
        <v>14</v>
      </c>
      <c r="U22" s="705">
        <f>H22</f>
        <v>100</v>
      </c>
      <c r="V22" s="704" t="s">
        <v>14</v>
      </c>
      <c r="W22" s="705">
        <f>J22</f>
        <v>100</v>
      </c>
      <c r="X22" s="1351"/>
      <c r="Y22" s="3718"/>
      <c r="Z22" s="1352" t="str">
        <f>Q22</f>
        <v>楼层</v>
      </c>
      <c r="AA22" s="1349">
        <f t="shared" si="3"/>
        <v>1</v>
      </c>
      <c r="AB22" s="1349">
        <f t="shared" si="4"/>
        <v>1</v>
      </c>
      <c r="AC22" s="1349">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18"/>
      <c r="Q23" s="1348">
        <f>B23</f>
        <v>111</v>
      </c>
      <c r="R23" s="704" t="s">
        <v>14</v>
      </c>
      <c r="S23" s="705">
        <f>F23</f>
        <v>100</v>
      </c>
      <c r="T23" s="704" t="s">
        <v>14</v>
      </c>
      <c r="U23" s="705">
        <f>H23</f>
        <v>100</v>
      </c>
      <c r="V23" s="704" t="s">
        <v>14</v>
      </c>
      <c r="W23" s="705">
        <f>J23</f>
        <v>100</v>
      </c>
      <c r="X23" s="1351"/>
      <c r="Y23" s="3718"/>
      <c r="Z23" s="1352">
        <f>Q23</f>
        <v>111</v>
      </c>
      <c r="AA23" s="1349">
        <f t="shared" si="3"/>
        <v>1</v>
      </c>
      <c r="AB23" s="1349">
        <f t="shared" si="4"/>
        <v>1</v>
      </c>
      <c r="AC23" s="1349">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18"/>
      <c r="Q24" s="1348">
        <f t="shared" ref="Q24:Q36" si="11">B24</f>
        <v>111</v>
      </c>
      <c r="R24" s="704" t="s">
        <v>14</v>
      </c>
      <c r="S24" s="705">
        <f>F24</f>
        <v>100</v>
      </c>
      <c r="T24" s="704" t="s">
        <v>14</v>
      </c>
      <c r="U24" s="705">
        <f>H24</f>
        <v>100</v>
      </c>
      <c r="V24" s="704" t="s">
        <v>14</v>
      </c>
      <c r="W24" s="705">
        <f>J24</f>
        <v>100</v>
      </c>
      <c r="X24" s="1351"/>
      <c r="Y24" s="3718"/>
      <c r="Z24" s="1352">
        <f>Q24</f>
        <v>111</v>
      </c>
      <c r="AA24" s="1349">
        <f t="shared" si="3"/>
        <v>1</v>
      </c>
      <c r="AB24" s="1349">
        <f t="shared" si="4"/>
        <v>1</v>
      </c>
      <c r="AC24" s="1349">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18"/>
      <c r="Q25" s="1339">
        <f t="shared" si="11"/>
        <v>111</v>
      </c>
      <c r="R25" s="700" t="s">
        <v>14</v>
      </c>
      <c r="S25" s="701">
        <f>F25</f>
        <v>100</v>
      </c>
      <c r="T25" s="700" t="s">
        <v>14</v>
      </c>
      <c r="U25" s="701">
        <f>H25</f>
        <v>100</v>
      </c>
      <c r="V25" s="700" t="s">
        <v>14</v>
      </c>
      <c r="W25" s="701">
        <f>J25</f>
        <v>100</v>
      </c>
      <c r="X25" s="702"/>
      <c r="Y25" s="3718"/>
      <c r="Z25" s="52">
        <f>Q25</f>
        <v>111</v>
      </c>
      <c r="AA25" s="1349">
        <f>D25/F25</f>
        <v>1</v>
      </c>
      <c r="AB25" s="1349">
        <f>D25/H25</f>
        <v>1</v>
      </c>
      <c r="AC25" s="1349">
        <f>D25/J25</f>
        <v>1</v>
      </c>
    </row>
    <row r="26" spans="1:29" ht="28.5">
      <c r="A26" s="599" t="s">
        <v>1691</v>
      </c>
      <c r="B26" s="62" t="s">
        <v>1833</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90" t="s">
        <v>1693</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722" t="s">
        <v>1693</v>
      </c>
      <c r="Z26" s="1352" t="str">
        <f t="shared" ref="Z26:Z36" si="15">Q26</f>
        <v>配套类型</v>
      </c>
      <c r="AA26" s="1349" t="e">
        <f t="shared" si="3"/>
        <v>#DIV/0!</v>
      </c>
      <c r="AB26" s="1349" t="e">
        <f t="shared" si="4"/>
        <v>#DIV/0!</v>
      </c>
      <c r="AC26" s="1349" t="e">
        <f t="shared" si="5"/>
        <v>#DIV/0!</v>
      </c>
    </row>
    <row r="27" spans="1:29" s="422" customFormat="1" ht="15">
      <c r="A27" s="600"/>
      <c r="B27" s="601" t="s">
        <v>1834</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22"/>
      <c r="Q27" s="706" t="str">
        <f t="shared" si="11"/>
        <v>项目停车位配比</v>
      </c>
      <c r="R27" s="707" t="s">
        <v>14</v>
      </c>
      <c r="S27" s="708">
        <f t="shared" si="12"/>
        <v>100</v>
      </c>
      <c r="T27" s="707" t="s">
        <v>14</v>
      </c>
      <c r="U27" s="708">
        <f t="shared" si="13"/>
        <v>100</v>
      </c>
      <c r="V27" s="707" t="s">
        <v>14</v>
      </c>
      <c r="W27" s="708">
        <f t="shared" si="14"/>
        <v>100</v>
      </c>
      <c r="X27" s="709"/>
      <c r="Y27" s="3722"/>
      <c r="Z27" s="710" t="str">
        <f t="shared" si="15"/>
        <v>项目停车位配比</v>
      </c>
      <c r="AA27" s="1349">
        <f t="shared" si="3"/>
        <v>1</v>
      </c>
      <c r="AB27" s="1349">
        <f t="shared" si="4"/>
        <v>1</v>
      </c>
      <c r="AC27" s="1349">
        <f t="shared" si="5"/>
        <v>1</v>
      </c>
    </row>
    <row r="28" spans="1:29" ht="15">
      <c r="A28" s="603"/>
      <c r="B28" s="601" t="s">
        <v>1835</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22"/>
      <c r="Q28" s="1348" t="str">
        <f t="shared" si="11"/>
        <v>公共部分装修</v>
      </c>
      <c r="R28" s="704" t="s">
        <v>14</v>
      </c>
      <c r="S28" s="705">
        <f t="shared" si="12"/>
        <v>100</v>
      </c>
      <c r="T28" s="704" t="s">
        <v>14</v>
      </c>
      <c r="U28" s="705">
        <f t="shared" si="13"/>
        <v>100</v>
      </c>
      <c r="V28" s="704" t="s">
        <v>14</v>
      </c>
      <c r="W28" s="705">
        <f t="shared" si="14"/>
        <v>100</v>
      </c>
      <c r="X28" s="1351"/>
      <c r="Y28" s="3722"/>
      <c r="Z28" s="1352" t="str">
        <f t="shared" si="15"/>
        <v>公共部分装修</v>
      </c>
      <c r="AA28" s="1349">
        <f t="shared" si="3"/>
        <v>1</v>
      </c>
      <c r="AB28" s="1349">
        <f t="shared" si="4"/>
        <v>1</v>
      </c>
      <c r="AC28" s="1349">
        <f t="shared" si="5"/>
        <v>1</v>
      </c>
    </row>
    <row r="29" spans="1:29" ht="15">
      <c r="A29" s="603"/>
      <c r="B29" s="601"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22"/>
      <c r="Q29" s="1348" t="str">
        <f t="shared" si="11"/>
        <v>成新率</v>
      </c>
      <c r="R29" s="704" t="s">
        <v>14</v>
      </c>
      <c r="S29" s="705" t="e">
        <f t="shared" si="12"/>
        <v>#N/A</v>
      </c>
      <c r="T29" s="704" t="s">
        <v>14</v>
      </c>
      <c r="U29" s="705" t="e">
        <f t="shared" si="13"/>
        <v>#N/A</v>
      </c>
      <c r="V29" s="704" t="s">
        <v>14</v>
      </c>
      <c r="W29" s="705" t="e">
        <f t="shared" si="14"/>
        <v>#N/A</v>
      </c>
      <c r="X29" s="1351"/>
      <c r="Y29" s="3722"/>
      <c r="Z29" s="1352" t="str">
        <f t="shared" si="15"/>
        <v>成新率</v>
      </c>
      <c r="AA29" s="1349" t="e">
        <f t="shared" si="3"/>
        <v>#N/A</v>
      </c>
      <c r="AB29" s="1349" t="e">
        <f t="shared" si="4"/>
        <v>#N/A</v>
      </c>
      <c r="AC29" s="1349" t="e">
        <f t="shared" si="5"/>
        <v>#N/A</v>
      </c>
    </row>
    <row r="30" spans="1:29" ht="15">
      <c r="A30" s="603"/>
      <c r="B30" s="601" t="s">
        <v>1837</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22"/>
      <c r="Q30" s="1348" t="str">
        <f t="shared" si="11"/>
        <v>物业等级</v>
      </c>
      <c r="R30" s="704" t="s">
        <v>14</v>
      </c>
      <c r="S30" s="705">
        <f t="shared" si="12"/>
        <v>100</v>
      </c>
      <c r="T30" s="704" t="s">
        <v>14</v>
      </c>
      <c r="U30" s="705">
        <f t="shared" si="13"/>
        <v>100</v>
      </c>
      <c r="V30" s="704" t="s">
        <v>14</v>
      </c>
      <c r="W30" s="705">
        <f t="shared" si="14"/>
        <v>100</v>
      </c>
      <c r="X30" s="1351"/>
      <c r="Y30" s="3722"/>
      <c r="Z30" s="1352" t="str">
        <f t="shared" si="15"/>
        <v>物业等级</v>
      </c>
      <c r="AA30" s="1349">
        <f t="shared" si="3"/>
        <v>1</v>
      </c>
      <c r="AB30" s="1349">
        <f t="shared" si="4"/>
        <v>1</v>
      </c>
      <c r="AC30" s="1349">
        <f t="shared" si="5"/>
        <v>1</v>
      </c>
    </row>
    <row r="31" spans="1:29" s="108" customFormat="1" ht="15">
      <c r="A31" s="605"/>
      <c r="B31" s="601"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22"/>
      <c r="Q31" s="1339" t="str">
        <f t="shared" si="11"/>
        <v>停车位面积</v>
      </c>
      <c r="R31" s="700" t="s">
        <v>14</v>
      </c>
      <c r="S31" s="701" t="e">
        <f t="shared" si="12"/>
        <v>#N/A</v>
      </c>
      <c r="T31" s="700" t="s">
        <v>14</v>
      </c>
      <c r="U31" s="701" t="e">
        <f t="shared" si="13"/>
        <v>#N/A</v>
      </c>
      <c r="V31" s="700" t="s">
        <v>14</v>
      </c>
      <c r="W31" s="701" t="e">
        <f t="shared" si="14"/>
        <v>#N/A</v>
      </c>
      <c r="X31" s="702"/>
      <c r="Y31" s="3722"/>
      <c r="Z31" s="52" t="str">
        <f t="shared" si="15"/>
        <v>停车位面积</v>
      </c>
      <c r="AA31" s="703" t="e">
        <f t="shared" si="3"/>
        <v>#N/A</v>
      </c>
      <c r="AB31" s="703" t="e">
        <f t="shared" si="4"/>
        <v>#N/A</v>
      </c>
      <c r="AC31" s="703" t="e">
        <f t="shared" si="5"/>
        <v>#N/A</v>
      </c>
    </row>
    <row r="32" spans="1:29" ht="15">
      <c r="A32" s="603"/>
      <c r="B32" s="601" t="s">
        <v>1839</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22" t="s">
        <v>1693</v>
      </c>
      <c r="Q32" s="1348" t="str">
        <f t="shared" si="11"/>
        <v>车位类型</v>
      </c>
      <c r="R32" s="704" t="s">
        <v>14</v>
      </c>
      <c r="S32" s="705">
        <f t="shared" si="12"/>
        <v>100</v>
      </c>
      <c r="T32" s="704" t="s">
        <v>14</v>
      </c>
      <c r="U32" s="705">
        <f t="shared" si="13"/>
        <v>100</v>
      </c>
      <c r="V32" s="704" t="s">
        <v>14</v>
      </c>
      <c r="W32" s="705">
        <f t="shared" si="14"/>
        <v>100</v>
      </c>
      <c r="X32" s="1351"/>
      <c r="Y32" s="3722" t="s">
        <v>1693</v>
      </c>
      <c r="Z32" s="1352" t="str">
        <f t="shared" si="15"/>
        <v>车位类型</v>
      </c>
      <c r="AA32" s="1349">
        <f t="shared" si="3"/>
        <v>1</v>
      </c>
      <c r="AB32" s="1349">
        <f t="shared" si="4"/>
        <v>1</v>
      </c>
      <c r="AC32" s="1349">
        <f t="shared" si="5"/>
        <v>1</v>
      </c>
    </row>
    <row r="33" spans="1:29" ht="15">
      <c r="A33" s="603"/>
      <c r="B33" s="601" t="s">
        <v>1840</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22"/>
      <c r="Q33" s="1348" t="str">
        <f t="shared" si="11"/>
        <v>是否直接入户</v>
      </c>
      <c r="R33" s="704" t="s">
        <v>14</v>
      </c>
      <c r="S33" s="705">
        <f t="shared" si="12"/>
        <v>100</v>
      </c>
      <c r="T33" s="704" t="s">
        <v>14</v>
      </c>
      <c r="U33" s="705">
        <f t="shared" si="13"/>
        <v>100</v>
      </c>
      <c r="V33" s="704" t="s">
        <v>14</v>
      </c>
      <c r="W33" s="705">
        <f t="shared" si="14"/>
        <v>100</v>
      </c>
      <c r="X33" s="1351"/>
      <c r="Y33" s="3722"/>
      <c r="Z33" s="1352" t="str">
        <f t="shared" si="15"/>
        <v>是否直接入户</v>
      </c>
      <c r="AA33" s="1349">
        <f t="shared" si="3"/>
        <v>1</v>
      </c>
      <c r="AB33" s="1349">
        <f t="shared" si="4"/>
        <v>1</v>
      </c>
      <c r="AC33" s="1349">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22"/>
      <c r="Q34" s="1348">
        <f t="shared" si="11"/>
        <v>111</v>
      </c>
      <c r="R34" s="704" t="s">
        <v>14</v>
      </c>
      <c r="S34" s="705">
        <f t="shared" si="12"/>
        <v>100</v>
      </c>
      <c r="T34" s="704" t="s">
        <v>14</v>
      </c>
      <c r="U34" s="705">
        <f t="shared" si="13"/>
        <v>100</v>
      </c>
      <c r="V34" s="704" t="s">
        <v>14</v>
      </c>
      <c r="W34" s="705">
        <f t="shared" si="14"/>
        <v>100</v>
      </c>
      <c r="X34" s="1351"/>
      <c r="Y34" s="3722"/>
      <c r="Z34" s="1352">
        <f t="shared" si="15"/>
        <v>111</v>
      </c>
      <c r="AA34" s="1349">
        <f t="shared" si="3"/>
        <v>1</v>
      </c>
      <c r="AB34" s="1349">
        <f t="shared" si="4"/>
        <v>1</v>
      </c>
      <c r="AC34" s="1349">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22"/>
      <c r="Q35" s="706">
        <f t="shared" si="11"/>
        <v>111</v>
      </c>
      <c r="R35" s="707" t="s">
        <v>14</v>
      </c>
      <c r="S35" s="708">
        <f t="shared" si="12"/>
        <v>100</v>
      </c>
      <c r="T35" s="707" t="s">
        <v>14</v>
      </c>
      <c r="U35" s="708">
        <f t="shared" si="13"/>
        <v>100</v>
      </c>
      <c r="V35" s="707" t="s">
        <v>14</v>
      </c>
      <c r="W35" s="708">
        <f t="shared" si="14"/>
        <v>100</v>
      </c>
      <c r="X35" s="709"/>
      <c r="Y35" s="3722"/>
      <c r="Z35" s="710">
        <f t="shared" si="15"/>
        <v>111</v>
      </c>
      <c r="AA35" s="1349">
        <f t="shared" si="3"/>
        <v>1</v>
      </c>
      <c r="AB35" s="1349">
        <f t="shared" si="4"/>
        <v>1</v>
      </c>
      <c r="AC35" s="1349">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22"/>
      <c r="Q36" s="1348">
        <f t="shared" si="11"/>
        <v>111</v>
      </c>
      <c r="R36" s="704" t="s">
        <v>14</v>
      </c>
      <c r="S36" s="705">
        <f t="shared" si="12"/>
        <v>100</v>
      </c>
      <c r="T36" s="704" t="s">
        <v>14</v>
      </c>
      <c r="U36" s="705">
        <f t="shared" si="13"/>
        <v>100</v>
      </c>
      <c r="V36" s="704" t="s">
        <v>14</v>
      </c>
      <c r="W36" s="705">
        <f t="shared" si="14"/>
        <v>100</v>
      </c>
      <c r="X36" s="1351"/>
      <c r="Y36" s="3722"/>
      <c r="Z36" s="1352">
        <f t="shared" si="15"/>
        <v>111</v>
      </c>
      <c r="AA36" s="1349">
        <f t="shared" si="3"/>
        <v>1</v>
      </c>
      <c r="AB36" s="1349">
        <f t="shared" si="4"/>
        <v>1</v>
      </c>
      <c r="AC36" s="1349">
        <f t="shared" si="5"/>
        <v>1</v>
      </c>
    </row>
    <row r="37" spans="1:29" ht="15">
      <c r="A37" s="430" t="s">
        <v>1841</v>
      </c>
      <c r="B37" s="1969" t="s">
        <v>3351</v>
      </c>
      <c r="C37" s="1150" t="s">
        <v>0</v>
      </c>
      <c r="D37" s="1151"/>
      <c r="E37" s="1152"/>
      <c r="F37" s="1153"/>
      <c r="G37" s="1154"/>
      <c r="H37" s="1155"/>
      <c r="I37" s="1152"/>
      <c r="J37" s="1155"/>
      <c r="K37" s="567"/>
      <c r="L37" s="2720"/>
      <c r="M37" s="2721"/>
      <c r="N37" s="2712"/>
      <c r="O37" s="2721"/>
      <c r="P37" s="3710" t="str">
        <f>A37</f>
        <v>成交单价</v>
      </c>
      <c r="Q37" s="3710"/>
      <c r="R37" s="3711">
        <f>E37</f>
        <v>0</v>
      </c>
      <c r="S37" s="3711"/>
      <c r="T37" s="3711">
        <f>G37</f>
        <v>0</v>
      </c>
      <c r="U37" s="3711"/>
      <c r="V37" s="3711">
        <f>I37</f>
        <v>0</v>
      </c>
      <c r="W37" s="3711"/>
      <c r="X37" s="689"/>
      <c r="Y37" s="711"/>
      <c r="Z37" s="689"/>
      <c r="AA37" s="689"/>
      <c r="AB37" s="689"/>
      <c r="AC37" s="689"/>
    </row>
    <row r="38" spans="1:29" ht="15.75" thickBot="1">
      <c r="A38" s="437" t="s">
        <v>1842</v>
      </c>
      <c r="B38" s="438" t="str">
        <f>B37</f>
        <v>元/平方米</v>
      </c>
      <c r="C38" s="1156" t="e">
        <f>R39</f>
        <v>#DIV/0!</v>
      </c>
      <c r="D38" s="2313" t="s">
        <v>2133</v>
      </c>
      <c r="E38" s="1157" t="e">
        <f>R38</f>
        <v>#DIV/0!</v>
      </c>
      <c r="F38" s="2314"/>
      <c r="G38" s="1156" t="e">
        <f>T38</f>
        <v>#DIV/0!</v>
      </c>
      <c r="H38" s="2314"/>
      <c r="I38" s="1157" t="e">
        <f>V38</f>
        <v>#DIV/0!</v>
      </c>
      <c r="J38" s="2314"/>
      <c r="K38" s="2316">
        <f>F38+H38+J38</f>
        <v>0</v>
      </c>
      <c r="L38" s="2720"/>
      <c r="M38" s="2721"/>
      <c r="N38" s="2721"/>
      <c r="O38" s="2721"/>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89"/>
      <c r="Y38" s="689"/>
      <c r="Z38" s="689"/>
      <c r="AA38" s="689"/>
      <c r="AB38" s="689"/>
      <c r="AC38" s="689"/>
    </row>
    <row r="39" spans="1:29" ht="15.75" thickBot="1">
      <c r="A39" s="441" t="s">
        <v>1843</v>
      </c>
      <c r="B39" s="442"/>
      <c r="C39" s="1159" t="e">
        <f>R39</f>
        <v>#DIV/0!</v>
      </c>
      <c r="D39" s="1159"/>
      <c r="E39" s="1159"/>
      <c r="F39" s="1159"/>
      <c r="G39" s="1159"/>
      <c r="H39" s="1159"/>
      <c r="I39" s="1159"/>
      <c r="J39" s="1159"/>
      <c r="K39" s="568"/>
      <c r="L39" s="2720"/>
      <c r="M39" s="2721"/>
      <c r="N39" s="2721"/>
      <c r="O39" s="2721"/>
      <c r="P39" s="3712" t="str">
        <f>A39</f>
        <v>估价对象XX用房的比较价值（楼面单价，元/平方米）</v>
      </c>
      <c r="Q39" s="3713"/>
      <c r="R39" s="3791" t="e">
        <f>IF(F1="售价",ROUND(IF(D38="简单平均",AVERAGE(R38:W38),R38*F38+T38*H38+V38*J38),0),ROUND(IF(D38="简单平均",AVERAGE(R38:V38),R38*F38+T38*H38+V38*J38),1))</f>
        <v>#DIV/0!</v>
      </c>
      <c r="S39" s="3791"/>
      <c r="T39" s="3791"/>
      <c r="U39" s="3791"/>
      <c r="V39" s="3791"/>
      <c r="W39" s="3791"/>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1848</v>
      </c>
      <c r="B48" s="455"/>
      <c r="C48" s="1180" t="str">
        <f>YEAR(C7)&amp;"-"&amp;MONTH(C7)</f>
        <v>2024-6</v>
      </c>
      <c r="D48" s="1181">
        <f>EDATE(C48,-1)</f>
        <v>45413</v>
      </c>
      <c r="E48" s="1181">
        <f t="shared" ref="E48:O48" si="16">EDATE(D48,-1)</f>
        <v>45383</v>
      </c>
      <c r="F48" s="1181">
        <f t="shared" si="16"/>
        <v>45352</v>
      </c>
      <c r="G48" s="1181">
        <f t="shared" si="16"/>
        <v>45323</v>
      </c>
      <c r="H48" s="1181">
        <f t="shared" si="16"/>
        <v>45292</v>
      </c>
      <c r="I48" s="1181">
        <f t="shared" si="16"/>
        <v>45261</v>
      </c>
      <c r="J48" s="1181">
        <f t="shared" si="16"/>
        <v>45231</v>
      </c>
      <c r="K48" s="1181">
        <f t="shared" si="16"/>
        <v>45200</v>
      </c>
      <c r="L48" s="1181">
        <f t="shared" si="16"/>
        <v>45170</v>
      </c>
      <c r="M48" s="1181">
        <f t="shared" si="16"/>
        <v>45139</v>
      </c>
      <c r="N48" s="1181">
        <f t="shared" si="16"/>
        <v>45108</v>
      </c>
      <c r="O48" s="1181">
        <f t="shared" si="16"/>
        <v>45078</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1713</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1678</v>
      </c>
      <c r="B51" s="459"/>
      <c r="C51" s="471" t="s">
        <v>1773</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1716</v>
      </c>
      <c r="B53" s="477" t="s">
        <v>1682</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1685</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1724</v>
      </c>
      <c r="C65" s="527" t="s">
        <v>1718</v>
      </c>
      <c r="D65" s="527" t="s">
        <v>1719</v>
      </c>
      <c r="E65" s="527" t="s">
        <v>1720</v>
      </c>
      <c r="F65" s="527" t="s">
        <v>1721</v>
      </c>
      <c r="G65" s="527" t="s">
        <v>1722</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1810</v>
      </c>
      <c r="C67" s="607" t="s">
        <v>1796</v>
      </c>
      <c r="D67" s="607" t="s">
        <v>1797</v>
      </c>
      <c r="E67" s="607" t="s">
        <v>1798</v>
      </c>
      <c r="F67" s="607" t="s">
        <v>1799</v>
      </c>
      <c r="G67" s="607" t="s">
        <v>1800</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1730</v>
      </c>
      <c r="C69" s="527" t="s">
        <v>1718</v>
      </c>
      <c r="D69" s="527" t="s">
        <v>1719</v>
      </c>
      <c r="E69" s="527" t="s">
        <v>1720</v>
      </c>
      <c r="F69" s="527" t="s">
        <v>1721</v>
      </c>
      <c r="G69" s="527" t="s">
        <v>1722</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1849</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1691</v>
      </c>
      <c r="B79" s="477" t="s">
        <v>1850</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1851</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1737</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1853</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1855</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1856</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3332</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29" t="s">
        <v>1767</v>
      </c>
      <c r="D4" s="3730"/>
      <c r="E4" s="3731" t="s">
        <v>1768</v>
      </c>
      <c r="F4" s="3732"/>
      <c r="G4" s="3729" t="s">
        <v>1769</v>
      </c>
      <c r="H4" s="3730"/>
      <c r="I4" s="3729" t="s">
        <v>1770</v>
      </c>
      <c r="J4" s="3730"/>
      <c r="K4" s="559" t="s">
        <v>1771</v>
      </c>
      <c r="L4" s="2711"/>
      <c r="M4" s="2712"/>
      <c r="N4" s="2712"/>
      <c r="O4" s="2712"/>
      <c r="P4" s="3733" t="s">
        <v>1772</v>
      </c>
      <c r="Q4" s="3734"/>
      <c r="R4" s="3739" t="s">
        <v>1768</v>
      </c>
      <c r="S4" s="3740"/>
      <c r="T4" s="3739" t="s">
        <v>1769</v>
      </c>
      <c r="U4" s="3740"/>
      <c r="V4" s="3724" t="s">
        <v>1770</v>
      </c>
      <c r="W4" s="3724"/>
      <c r="X4" s="1351"/>
      <c r="Y4" s="3739" t="s">
        <v>1772</v>
      </c>
      <c r="Z4" s="3740"/>
      <c r="AA4" s="3726" t="s">
        <v>1768</v>
      </c>
      <c r="AB4" s="3727" t="s">
        <v>1769</v>
      </c>
      <c r="AC4" s="3726" t="s">
        <v>1770</v>
      </c>
    </row>
    <row r="5" spans="1:29" ht="15">
      <c r="A5" s="358"/>
      <c r="B5" s="359"/>
      <c r="C5" s="3747" t="s">
        <v>1670</v>
      </c>
      <c r="D5" s="3748"/>
      <c r="E5" s="3754" t="s">
        <v>1671</v>
      </c>
      <c r="F5" s="3755"/>
      <c r="G5" s="3747" t="s">
        <v>1672</v>
      </c>
      <c r="H5" s="3748"/>
      <c r="I5" s="3747" t="s">
        <v>1673</v>
      </c>
      <c r="J5" s="3748"/>
      <c r="K5" s="559"/>
      <c r="L5" s="2711"/>
      <c r="M5" s="2712"/>
      <c r="N5" s="2712"/>
      <c r="O5" s="2712"/>
      <c r="P5" s="3735"/>
      <c r="Q5" s="3736"/>
      <c r="R5" s="3741"/>
      <c r="S5" s="3742"/>
      <c r="T5" s="3741"/>
      <c r="U5" s="3742"/>
      <c r="V5" s="3724"/>
      <c r="W5" s="3724"/>
      <c r="X5" s="1351"/>
      <c r="Y5" s="3741"/>
      <c r="Z5" s="3742"/>
      <c r="AA5" s="3727"/>
      <c r="AB5" s="3727"/>
      <c r="AC5" s="3727"/>
    </row>
    <row r="6" spans="1:29" ht="15.75" thickBot="1">
      <c r="A6" s="360"/>
      <c r="B6" s="361"/>
      <c r="C6" s="3745" t="s">
        <v>1674</v>
      </c>
      <c r="D6" s="3746"/>
      <c r="E6" s="3752" t="s">
        <v>1674</v>
      </c>
      <c r="F6" s="3753"/>
      <c r="G6" s="3745" t="s">
        <v>1674</v>
      </c>
      <c r="H6" s="3746"/>
      <c r="I6" s="3745" t="s">
        <v>1674</v>
      </c>
      <c r="J6" s="3746"/>
      <c r="K6" s="559" t="s">
        <v>1675</v>
      </c>
      <c r="L6" s="2711"/>
      <c r="M6" s="2712"/>
      <c r="N6" s="2712"/>
      <c r="O6" s="2712"/>
      <c r="P6" s="3737"/>
      <c r="Q6" s="3738"/>
      <c r="R6" s="3741"/>
      <c r="S6" s="3742"/>
      <c r="T6" s="3743"/>
      <c r="U6" s="3744"/>
      <c r="V6" s="3724"/>
      <c r="W6" s="3724"/>
      <c r="X6" s="1351"/>
      <c r="Y6" s="3743"/>
      <c r="Z6" s="3744"/>
      <c r="AA6" s="3728"/>
      <c r="AB6" s="3728"/>
      <c r="AC6" s="3728"/>
    </row>
    <row r="7" spans="1:29" s="108" customFormat="1" ht="15.75" thickBot="1">
      <c r="A7" s="362" t="s">
        <v>1676</v>
      </c>
      <c r="B7" s="363"/>
      <c r="C7" s="364">
        <f>'数据-取费表'!B2</f>
        <v>45467</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49" t="s">
        <v>1677</v>
      </c>
      <c r="Q7" s="3751"/>
      <c r="R7" s="700" t="s">
        <v>14</v>
      </c>
      <c r="S7" s="701">
        <f t="shared" ref="S7:S14" si="0">F7</f>
        <v>0</v>
      </c>
      <c r="T7" s="700" t="s">
        <v>14</v>
      </c>
      <c r="U7" s="701">
        <f t="shared" ref="U7:U14" si="1">H7</f>
        <v>0</v>
      </c>
      <c r="V7" s="700" t="s">
        <v>14</v>
      </c>
      <c r="W7" s="701">
        <f t="shared" ref="W7:W14" si="2">J7</f>
        <v>0</v>
      </c>
      <c r="X7" s="702"/>
      <c r="Y7" s="3749" t="s">
        <v>1677</v>
      </c>
      <c r="Z7" s="3750"/>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49" t="s">
        <v>1680</v>
      </c>
      <c r="Q8" s="3750"/>
      <c r="R8" s="700" t="s">
        <v>14</v>
      </c>
      <c r="S8" s="701">
        <f t="shared" si="0"/>
        <v>100</v>
      </c>
      <c r="T8" s="700" t="s">
        <v>14</v>
      </c>
      <c r="U8" s="701">
        <f t="shared" si="1"/>
        <v>100</v>
      </c>
      <c r="V8" s="700" t="s">
        <v>14</v>
      </c>
      <c r="W8" s="701">
        <f t="shared" si="2"/>
        <v>100</v>
      </c>
      <c r="X8" s="702"/>
      <c r="Y8" s="3749" t="s">
        <v>1680</v>
      </c>
      <c r="Z8" s="3750"/>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0" t="s">
        <v>1683</v>
      </c>
      <c r="Q9" s="1339" t="str">
        <f t="shared" ref="Q9:Q14" si="6">B9</f>
        <v>用途</v>
      </c>
      <c r="R9" s="700" t="s">
        <v>14</v>
      </c>
      <c r="S9" s="701">
        <f t="shared" si="0"/>
        <v>100</v>
      </c>
      <c r="T9" s="700" t="s">
        <v>14</v>
      </c>
      <c r="U9" s="701">
        <f t="shared" si="1"/>
        <v>100</v>
      </c>
      <c r="V9" s="700" t="s">
        <v>14</v>
      </c>
      <c r="W9" s="701">
        <f t="shared" si="2"/>
        <v>100</v>
      </c>
      <c r="X9" s="702"/>
      <c r="Y9" s="3607"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5"/>
      <c r="M10" s="2716"/>
      <c r="N10" s="2716"/>
      <c r="O10" s="2769"/>
      <c r="P10" s="3710"/>
      <c r="Q10" s="1339" t="str">
        <f t="shared" si="6"/>
        <v>土地使用年限（年）</v>
      </c>
      <c r="R10" s="700" t="s">
        <v>14</v>
      </c>
      <c r="S10" s="701">
        <f t="shared" si="0"/>
        <v>100</v>
      </c>
      <c r="T10" s="700" t="s">
        <v>14</v>
      </c>
      <c r="U10" s="701">
        <f t="shared" si="1"/>
        <v>100</v>
      </c>
      <c r="V10" s="700" t="s">
        <v>14</v>
      </c>
      <c r="W10" s="701">
        <f t="shared" si="2"/>
        <v>100</v>
      </c>
      <c r="X10" s="702"/>
      <c r="Y10" s="3607"/>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0"/>
      <c r="Q11" s="1339">
        <f t="shared" si="6"/>
        <v>111</v>
      </c>
      <c r="R11" s="700" t="s">
        <v>14</v>
      </c>
      <c r="S11" s="701">
        <f t="shared" si="0"/>
        <v>100</v>
      </c>
      <c r="T11" s="700" t="s">
        <v>14</v>
      </c>
      <c r="U11" s="701">
        <f t="shared" si="1"/>
        <v>100</v>
      </c>
      <c r="V11" s="700" t="s">
        <v>14</v>
      </c>
      <c r="W11" s="701">
        <f t="shared" si="2"/>
        <v>100</v>
      </c>
      <c r="X11" s="702"/>
      <c r="Y11" s="3607"/>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0"/>
      <c r="Q12" s="1339">
        <f t="shared" si="6"/>
        <v>111</v>
      </c>
      <c r="R12" s="700" t="s">
        <v>14</v>
      </c>
      <c r="S12" s="701">
        <f t="shared" si="0"/>
        <v>100</v>
      </c>
      <c r="T12" s="700" t="s">
        <v>14</v>
      </c>
      <c r="U12" s="701">
        <f t="shared" si="1"/>
        <v>100</v>
      </c>
      <c r="V12" s="700" t="s">
        <v>14</v>
      </c>
      <c r="W12" s="701">
        <f t="shared" si="2"/>
        <v>100</v>
      </c>
      <c r="X12" s="702"/>
      <c r="Y12" s="3607"/>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0"/>
      <c r="Q13" s="1339">
        <f t="shared" si="6"/>
        <v>111</v>
      </c>
      <c r="R13" s="700" t="s">
        <v>14</v>
      </c>
      <c r="S13" s="701">
        <f t="shared" si="0"/>
        <v>100</v>
      </c>
      <c r="T13" s="700" t="s">
        <v>14</v>
      </c>
      <c r="U13" s="701">
        <f t="shared" si="1"/>
        <v>100</v>
      </c>
      <c r="V13" s="700" t="s">
        <v>14</v>
      </c>
      <c r="W13" s="701">
        <f t="shared" si="2"/>
        <v>100</v>
      </c>
      <c r="X13" s="702"/>
      <c r="Y13" s="3607"/>
      <c r="Z13" s="52">
        <f t="shared" si="7"/>
        <v>111</v>
      </c>
      <c r="AA13" s="703">
        <f t="shared" si="3"/>
        <v>1</v>
      </c>
      <c r="AB13" s="703">
        <f t="shared" si="4"/>
        <v>1</v>
      </c>
      <c r="AC13" s="703">
        <f t="shared" si="5"/>
        <v>1</v>
      </c>
    </row>
    <row r="14" spans="1:29" ht="85.5">
      <c r="A14" s="391" t="s">
        <v>1687</v>
      </c>
      <c r="B14" s="61" t="s">
        <v>1830</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7" t="s">
        <v>1688</v>
      </c>
      <c r="Q14" s="1348" t="str">
        <f t="shared" si="6"/>
        <v>交通便捷度</v>
      </c>
      <c r="R14" s="704" t="s">
        <v>14</v>
      </c>
      <c r="S14" s="705">
        <f t="shared" si="0"/>
        <v>100</v>
      </c>
      <c r="T14" s="704" t="s">
        <v>14</v>
      </c>
      <c r="U14" s="705">
        <f t="shared" si="1"/>
        <v>100</v>
      </c>
      <c r="V14" s="704" t="s">
        <v>14</v>
      </c>
      <c r="W14" s="705">
        <f t="shared" si="2"/>
        <v>100</v>
      </c>
      <c r="X14" s="1351"/>
      <c r="Y14" s="3717" t="s">
        <v>1688</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18"/>
      <c r="Q15" s="1348"/>
      <c r="R15" s="704"/>
      <c r="S15" s="705"/>
      <c r="T15" s="704"/>
      <c r="U15" s="705"/>
      <c r="V15" s="704"/>
      <c r="W15" s="705"/>
      <c r="X15" s="1351"/>
      <c r="Y15" s="3718"/>
      <c r="Z15" s="1352"/>
      <c r="AA15" s="1349">
        <v>1</v>
      </c>
      <c r="AB15" s="1349">
        <v>1</v>
      </c>
      <c r="AC15" s="1349">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18"/>
      <c r="Q16" s="1348" t="str">
        <f>B16</f>
        <v>公共配套设施</v>
      </c>
      <c r="R16" s="704" t="s">
        <v>14</v>
      </c>
      <c r="S16" s="705">
        <f>F16</f>
        <v>100</v>
      </c>
      <c r="T16" s="704" t="s">
        <v>14</v>
      </c>
      <c r="U16" s="705">
        <f>H16</f>
        <v>100</v>
      </c>
      <c r="V16" s="704" t="s">
        <v>14</v>
      </c>
      <c r="W16" s="705">
        <f>J16</f>
        <v>100</v>
      </c>
      <c r="X16" s="1351"/>
      <c r="Y16" s="3718"/>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18"/>
      <c r="Q17" s="1348"/>
      <c r="R17" s="704"/>
      <c r="S17" s="705"/>
      <c r="T17" s="704"/>
      <c r="U17" s="705"/>
      <c r="V17" s="704"/>
      <c r="W17" s="705"/>
      <c r="X17" s="1351"/>
      <c r="Y17" s="3718"/>
      <c r="Z17" s="1352"/>
      <c r="AA17" s="1349">
        <v>1</v>
      </c>
      <c r="AB17" s="1349">
        <v>1</v>
      </c>
      <c r="AC17" s="1349">
        <v>1</v>
      </c>
    </row>
    <row r="18" spans="1:29" ht="28.5">
      <c r="A18" s="379"/>
      <c r="B18" s="1127"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18"/>
      <c r="Q18" s="1348" t="str">
        <f>B18</f>
        <v>基础设施水平</v>
      </c>
      <c r="R18" s="704" t="s">
        <v>14</v>
      </c>
      <c r="S18" s="705">
        <f>F18</f>
        <v>100</v>
      </c>
      <c r="T18" s="704" t="s">
        <v>14</v>
      </c>
      <c r="U18" s="705">
        <f>H18</f>
        <v>100</v>
      </c>
      <c r="V18" s="704" t="s">
        <v>14</v>
      </c>
      <c r="W18" s="705">
        <f>J18</f>
        <v>100</v>
      </c>
      <c r="X18" s="1351"/>
      <c r="Y18" s="3718"/>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18"/>
      <c r="Q19" s="1348"/>
      <c r="R19" s="704"/>
      <c r="S19" s="705"/>
      <c r="T19" s="704"/>
      <c r="U19" s="705"/>
      <c r="V19" s="704"/>
      <c r="W19" s="705"/>
      <c r="X19" s="1351"/>
      <c r="Y19" s="3718"/>
      <c r="Z19" s="1352"/>
      <c r="AA19" s="1349">
        <v>1</v>
      </c>
      <c r="AB19" s="1349">
        <v>1</v>
      </c>
      <c r="AC19" s="1349">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18"/>
      <c r="Q20" s="1348" t="str">
        <f>B20</f>
        <v>自然及人文环境</v>
      </c>
      <c r="R20" s="704" t="s">
        <v>14</v>
      </c>
      <c r="S20" s="705">
        <f>F20</f>
        <v>100</v>
      </c>
      <c r="T20" s="704" t="s">
        <v>14</v>
      </c>
      <c r="U20" s="705">
        <f>H20</f>
        <v>100</v>
      </c>
      <c r="V20" s="704" t="s">
        <v>14</v>
      </c>
      <c r="W20" s="705">
        <f>J20</f>
        <v>100</v>
      </c>
      <c r="X20" s="1351"/>
      <c r="Y20" s="3718"/>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18"/>
      <c r="Q21" s="1348"/>
      <c r="R21" s="704"/>
      <c r="S21" s="705"/>
      <c r="T21" s="704"/>
      <c r="U21" s="705"/>
      <c r="V21" s="704"/>
      <c r="W21" s="705"/>
      <c r="X21" s="1351"/>
      <c r="Y21" s="3718"/>
      <c r="Z21" s="1352"/>
      <c r="AA21" s="1349">
        <v>1</v>
      </c>
      <c r="AB21" s="1349">
        <v>1</v>
      </c>
      <c r="AC21" s="1349">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18"/>
      <c r="Q22" s="1348" t="str">
        <f>B22</f>
        <v>楼层</v>
      </c>
      <c r="R22" s="704" t="s">
        <v>14</v>
      </c>
      <c r="S22" s="705">
        <f>F22</f>
        <v>100</v>
      </c>
      <c r="T22" s="704" t="s">
        <v>14</v>
      </c>
      <c r="U22" s="705">
        <f>H22</f>
        <v>100</v>
      </c>
      <c r="V22" s="704" t="s">
        <v>14</v>
      </c>
      <c r="W22" s="705">
        <f>J22</f>
        <v>100</v>
      </c>
      <c r="X22" s="1351"/>
      <c r="Y22" s="3718"/>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18"/>
      <c r="Q23" s="1348">
        <f>B23</f>
        <v>111</v>
      </c>
      <c r="R23" s="704" t="s">
        <v>14</v>
      </c>
      <c r="S23" s="705">
        <f>F23</f>
        <v>100</v>
      </c>
      <c r="T23" s="704" t="s">
        <v>14</v>
      </c>
      <c r="U23" s="705">
        <f>H23</f>
        <v>100</v>
      </c>
      <c r="V23" s="704" t="s">
        <v>14</v>
      </c>
      <c r="W23" s="705">
        <f>J23</f>
        <v>100</v>
      </c>
      <c r="X23" s="1351"/>
      <c r="Y23" s="3718"/>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18"/>
      <c r="Q24" s="1348">
        <f t="shared" ref="Q24:Q34" si="11">B24</f>
        <v>111</v>
      </c>
      <c r="R24" s="704" t="s">
        <v>14</v>
      </c>
      <c r="S24" s="705">
        <f>F24</f>
        <v>100</v>
      </c>
      <c r="T24" s="704" t="s">
        <v>14</v>
      </c>
      <c r="U24" s="705">
        <f>H24</f>
        <v>100</v>
      </c>
      <c r="V24" s="704" t="s">
        <v>14</v>
      </c>
      <c r="W24" s="705">
        <f>J24</f>
        <v>100</v>
      </c>
      <c r="X24" s="1351"/>
      <c r="Y24" s="3718"/>
      <c r="Z24" s="1352">
        <f>Q24</f>
        <v>111</v>
      </c>
      <c r="AA24" s="1349">
        <f t="shared" si="3"/>
        <v>1</v>
      </c>
      <c r="AB24" s="1349">
        <f t="shared" si="4"/>
        <v>1</v>
      </c>
      <c r="AC24" s="1349">
        <f t="shared" si="5"/>
        <v>1</v>
      </c>
    </row>
    <row r="25" spans="1:29" s="108" customFormat="1" ht="15.75" thickBot="1">
      <c r="A25" s="382"/>
      <c r="B25" s="1889">
        <v>111</v>
      </c>
      <c r="C25" s="1972"/>
      <c r="D25" s="612">
        <v>100</v>
      </c>
      <c r="E25" s="1972"/>
      <c r="F25" s="613">
        <f>SUMIF(75:75,E25,76:76)-SUMIF(75:75,C25,76:76)+100</f>
        <v>100</v>
      </c>
      <c r="G25" s="1972"/>
      <c r="H25" s="612">
        <f>SUMIF(75:75,G25,76:76)-SUMIF(75:75,C25,76:76)+100</f>
        <v>100</v>
      </c>
      <c r="I25" s="1972"/>
      <c r="J25" s="612">
        <f>SUMIF(75:75,I25,76:76)-SUMIF(75:75,C25,76:76)+100</f>
        <v>100</v>
      </c>
      <c r="K25" s="562"/>
      <c r="L25" s="2713"/>
      <c r="M25" s="2714"/>
      <c r="N25" s="2714"/>
      <c r="O25" s="2768"/>
      <c r="P25" s="3718"/>
      <c r="Q25" s="1339">
        <f t="shared" si="11"/>
        <v>111</v>
      </c>
      <c r="R25" s="700" t="s">
        <v>14</v>
      </c>
      <c r="S25" s="701">
        <f>F25</f>
        <v>100</v>
      </c>
      <c r="T25" s="700" t="s">
        <v>14</v>
      </c>
      <c r="U25" s="701">
        <f>H25</f>
        <v>100</v>
      </c>
      <c r="V25" s="700" t="s">
        <v>14</v>
      </c>
      <c r="W25" s="701">
        <f>J25</f>
        <v>100</v>
      </c>
      <c r="X25" s="702"/>
      <c r="Y25" s="3718"/>
      <c r="Z25" s="52">
        <f>Q25</f>
        <v>111</v>
      </c>
      <c r="AA25" s="1349">
        <f>D25/F25</f>
        <v>1</v>
      </c>
      <c r="AB25" s="1349">
        <f>D25/H25</f>
        <v>1</v>
      </c>
      <c r="AC25" s="1349">
        <f>D25/J25</f>
        <v>1</v>
      </c>
    </row>
    <row r="26" spans="1:29" ht="28.5">
      <c r="A26" s="417" t="s">
        <v>1691</v>
      </c>
      <c r="B26" s="63" t="s">
        <v>1835</v>
      </c>
      <c r="C26" s="1963"/>
      <c r="D26" s="418">
        <v>100</v>
      </c>
      <c r="E26" s="1963"/>
      <c r="F26" s="614">
        <f>SUMIF(77:77,E26,78:78)-SUMIF(77:77,C26,78:78)+100</f>
        <v>100</v>
      </c>
      <c r="G26" s="1963"/>
      <c r="H26" s="418">
        <f>SUMIF(77:77,G26,78:78)-SUMIF(77:77,C26,78:78)+100</f>
        <v>100</v>
      </c>
      <c r="I26" s="1963"/>
      <c r="J26" s="418">
        <f>SUMIF(77:77,I26,78:78)-SUMIF(77:77,C26,78:78)+100</f>
        <v>100</v>
      </c>
      <c r="K26" s="561"/>
      <c r="L26" s="2718"/>
      <c r="M26" s="2712"/>
      <c r="N26" s="2712"/>
      <c r="O26" s="2770"/>
      <c r="P26" s="3790" t="s">
        <v>1693</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722" t="s">
        <v>1693</v>
      </c>
      <c r="Z26" s="1352" t="str">
        <f t="shared" ref="Z26:Z34" si="15">Q26</f>
        <v>公共部分装修</v>
      </c>
      <c r="AA26" s="1349">
        <f t="shared" si="3"/>
        <v>1</v>
      </c>
      <c r="AB26" s="1349">
        <f t="shared" si="4"/>
        <v>1</v>
      </c>
      <c r="AC26" s="1349">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22"/>
      <c r="Q27" s="706" t="str">
        <f t="shared" si="11"/>
        <v>成新率</v>
      </c>
      <c r="R27" s="707" t="s">
        <v>14</v>
      </c>
      <c r="S27" s="708" t="e">
        <f t="shared" si="12"/>
        <v>#N/A</v>
      </c>
      <c r="T27" s="707" t="s">
        <v>14</v>
      </c>
      <c r="U27" s="708" t="e">
        <f t="shared" si="13"/>
        <v>#N/A</v>
      </c>
      <c r="V27" s="707" t="s">
        <v>14</v>
      </c>
      <c r="W27" s="708" t="e">
        <f t="shared" si="14"/>
        <v>#N/A</v>
      </c>
      <c r="X27" s="709"/>
      <c r="Y27" s="3722"/>
      <c r="Z27" s="710" t="str">
        <f t="shared" si="15"/>
        <v>成新率</v>
      </c>
      <c r="AA27" s="1349" t="e">
        <f t="shared" si="3"/>
        <v>#N/A</v>
      </c>
      <c r="AB27" s="1349" t="e">
        <f t="shared" si="4"/>
        <v>#N/A</v>
      </c>
      <c r="AC27" s="1349"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22"/>
      <c r="Q28" s="1348" t="str">
        <f t="shared" si="11"/>
        <v>物业等级</v>
      </c>
      <c r="R28" s="704" t="s">
        <v>14</v>
      </c>
      <c r="S28" s="705">
        <f t="shared" si="12"/>
        <v>100</v>
      </c>
      <c r="T28" s="704" t="s">
        <v>14</v>
      </c>
      <c r="U28" s="705">
        <f t="shared" si="13"/>
        <v>100</v>
      </c>
      <c r="V28" s="704" t="s">
        <v>14</v>
      </c>
      <c r="W28" s="705">
        <f t="shared" si="14"/>
        <v>100</v>
      </c>
      <c r="X28" s="1351"/>
      <c r="Y28" s="3722"/>
      <c r="Z28" s="1352" t="str">
        <f t="shared" si="15"/>
        <v>物业等级</v>
      </c>
      <c r="AA28" s="1349">
        <f t="shared" si="3"/>
        <v>1</v>
      </c>
      <c r="AB28" s="1349">
        <f t="shared" si="4"/>
        <v>1</v>
      </c>
      <c r="AC28" s="1349">
        <f t="shared" si="5"/>
        <v>1</v>
      </c>
    </row>
    <row r="29" spans="1:29" ht="15">
      <c r="A29" s="423"/>
      <c r="B29" s="375" t="s">
        <v>1857</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22"/>
      <c r="Q29" s="1348" t="str">
        <f t="shared" si="11"/>
        <v>有无电梯</v>
      </c>
      <c r="R29" s="704" t="s">
        <v>14</v>
      </c>
      <c r="S29" s="705">
        <f t="shared" si="12"/>
        <v>100</v>
      </c>
      <c r="T29" s="704" t="s">
        <v>14</v>
      </c>
      <c r="U29" s="705">
        <f t="shared" si="13"/>
        <v>100</v>
      </c>
      <c r="V29" s="704" t="s">
        <v>14</v>
      </c>
      <c r="W29" s="705">
        <f t="shared" si="14"/>
        <v>100</v>
      </c>
      <c r="X29" s="1351"/>
      <c r="Y29" s="3722"/>
      <c r="Z29" s="1352" t="str">
        <f t="shared" si="15"/>
        <v>有无电梯</v>
      </c>
      <c r="AA29" s="1349">
        <f t="shared" si="3"/>
        <v>1</v>
      </c>
      <c r="AB29" s="1349">
        <f t="shared" si="4"/>
        <v>1</v>
      </c>
      <c r="AC29" s="1349">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22"/>
      <c r="Q30" s="1348" t="str">
        <f t="shared" si="11"/>
        <v>建筑面积</v>
      </c>
      <c r="R30" s="704" t="s">
        <v>14</v>
      </c>
      <c r="S30" s="705" t="e">
        <f t="shared" si="12"/>
        <v>#N/A</v>
      </c>
      <c r="T30" s="704" t="s">
        <v>14</v>
      </c>
      <c r="U30" s="705" t="e">
        <f t="shared" si="13"/>
        <v>#N/A</v>
      </c>
      <c r="V30" s="704" t="s">
        <v>14</v>
      </c>
      <c r="W30" s="705" t="e">
        <f t="shared" si="14"/>
        <v>#N/A</v>
      </c>
      <c r="X30" s="1351"/>
      <c r="Y30" s="3722"/>
      <c r="Z30" s="1352" t="str">
        <f t="shared" si="15"/>
        <v>建筑面积</v>
      </c>
      <c r="AA30" s="1349" t="e">
        <f t="shared" si="3"/>
        <v>#N/A</v>
      </c>
      <c r="AB30" s="1349" t="e">
        <f t="shared" si="4"/>
        <v>#N/A</v>
      </c>
      <c r="AC30" s="1349" t="e">
        <f t="shared" si="5"/>
        <v>#N/A</v>
      </c>
    </row>
    <row r="31" spans="1:29" s="108" customFormat="1" ht="15">
      <c r="A31" s="424"/>
      <c r="B31" s="375" t="s">
        <v>1859</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22"/>
      <c r="Q31" s="1339" t="str">
        <f t="shared" si="11"/>
        <v>是否封闭</v>
      </c>
      <c r="R31" s="700" t="s">
        <v>14</v>
      </c>
      <c r="S31" s="701">
        <f t="shared" si="12"/>
        <v>100</v>
      </c>
      <c r="T31" s="700" t="s">
        <v>14</v>
      </c>
      <c r="U31" s="701">
        <f t="shared" si="13"/>
        <v>100</v>
      </c>
      <c r="V31" s="700" t="s">
        <v>14</v>
      </c>
      <c r="W31" s="701">
        <f t="shared" si="14"/>
        <v>100</v>
      </c>
      <c r="X31" s="702"/>
      <c r="Y31" s="3722"/>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22" t="s">
        <v>1693</v>
      </c>
      <c r="Q32" s="1348">
        <f t="shared" si="11"/>
        <v>111</v>
      </c>
      <c r="R32" s="704" t="s">
        <v>14</v>
      </c>
      <c r="S32" s="705">
        <f t="shared" si="12"/>
        <v>100</v>
      </c>
      <c r="T32" s="704" t="s">
        <v>14</v>
      </c>
      <c r="U32" s="705">
        <f t="shared" si="13"/>
        <v>100</v>
      </c>
      <c r="V32" s="704" t="s">
        <v>14</v>
      </c>
      <c r="W32" s="705">
        <f t="shared" si="14"/>
        <v>100</v>
      </c>
      <c r="X32" s="1351"/>
      <c r="Y32" s="3722" t="s">
        <v>1693</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22"/>
      <c r="Q33" s="1348">
        <f t="shared" si="11"/>
        <v>111</v>
      </c>
      <c r="R33" s="704" t="s">
        <v>14</v>
      </c>
      <c r="S33" s="705">
        <f t="shared" si="12"/>
        <v>100</v>
      </c>
      <c r="T33" s="704" t="s">
        <v>14</v>
      </c>
      <c r="U33" s="705">
        <f t="shared" si="13"/>
        <v>100</v>
      </c>
      <c r="V33" s="704" t="s">
        <v>14</v>
      </c>
      <c r="W33" s="705">
        <f t="shared" si="14"/>
        <v>100</v>
      </c>
      <c r="X33" s="1351"/>
      <c r="Y33" s="3722"/>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22"/>
      <c r="Q34" s="1348">
        <f t="shared" si="11"/>
        <v>111</v>
      </c>
      <c r="R34" s="704" t="s">
        <v>14</v>
      </c>
      <c r="S34" s="705">
        <f t="shared" si="12"/>
        <v>100</v>
      </c>
      <c r="T34" s="704" t="s">
        <v>14</v>
      </c>
      <c r="U34" s="705">
        <f t="shared" si="13"/>
        <v>100</v>
      </c>
      <c r="V34" s="704" t="s">
        <v>14</v>
      </c>
      <c r="W34" s="705">
        <f t="shared" si="14"/>
        <v>100</v>
      </c>
      <c r="X34" s="1351"/>
      <c r="Y34" s="3722"/>
      <c r="Z34" s="1352">
        <f t="shared" si="15"/>
        <v>111</v>
      </c>
      <c r="AA34" s="1349">
        <f t="shared" si="3"/>
        <v>1</v>
      </c>
      <c r="AB34" s="1349">
        <f t="shared" si="4"/>
        <v>1</v>
      </c>
      <c r="AC34" s="1349">
        <f t="shared" si="5"/>
        <v>1</v>
      </c>
    </row>
    <row r="35" spans="1:30" ht="15">
      <c r="A35" s="430" t="s">
        <v>1705</v>
      </c>
      <c r="B35" s="431"/>
      <c r="C35" s="1150" t="s">
        <v>0</v>
      </c>
      <c r="D35" s="1151"/>
      <c r="E35" s="1152"/>
      <c r="F35" s="1153"/>
      <c r="G35" s="1154"/>
      <c r="H35" s="1155"/>
      <c r="I35" s="1152"/>
      <c r="J35" s="1155"/>
      <c r="K35" s="713"/>
      <c r="L35" s="2720"/>
      <c r="M35" s="2721"/>
      <c r="N35" s="2712"/>
      <c r="O35" s="2721"/>
      <c r="P35" s="3710" t="str">
        <f>A35</f>
        <v>成交单价（元/平方米）</v>
      </c>
      <c r="Q35" s="3710"/>
      <c r="R35" s="3711">
        <f>E35</f>
        <v>0</v>
      </c>
      <c r="S35" s="3711"/>
      <c r="T35" s="3711">
        <f>G35</f>
        <v>0</v>
      </c>
      <c r="U35" s="3711"/>
      <c r="V35" s="3711">
        <f>I35</f>
        <v>0</v>
      </c>
      <c r="W35" s="3711"/>
      <c r="X35" s="689"/>
      <c r="Y35" s="711"/>
      <c r="Z35" s="689"/>
      <c r="AA35" s="689"/>
      <c r="AB35" s="689"/>
      <c r="AC35" s="689"/>
    </row>
    <row r="36" spans="1:30" ht="15.75" thickBot="1">
      <c r="A36" s="437" t="s">
        <v>1790</v>
      </c>
      <c r="B36" s="438"/>
      <c r="C36" s="1156" t="e">
        <f>R37</f>
        <v>#DIV/0!</v>
      </c>
      <c r="D36" s="2313" t="s">
        <v>2133</v>
      </c>
      <c r="E36" s="1157" t="e">
        <f>R36</f>
        <v>#DIV/0!</v>
      </c>
      <c r="F36" s="2314"/>
      <c r="G36" s="1156" t="e">
        <f>T36</f>
        <v>#DIV/0!</v>
      </c>
      <c r="H36" s="2314"/>
      <c r="I36" s="1157" t="e">
        <f>V36</f>
        <v>#DIV/0!</v>
      </c>
      <c r="J36" s="2314"/>
      <c r="K36" s="2316">
        <f>F36+H36+J36</f>
        <v>0</v>
      </c>
      <c r="L36" s="2720"/>
      <c r="M36" s="2721"/>
      <c r="N36" s="2712"/>
      <c r="O36" s="2721"/>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89"/>
      <c r="Y36" s="689"/>
      <c r="Z36" s="689"/>
      <c r="AA36" s="689"/>
      <c r="AB36" s="689"/>
      <c r="AC36" s="689"/>
    </row>
    <row r="37" spans="1:30" ht="15.75" thickBot="1">
      <c r="A37" s="441" t="s">
        <v>1791</v>
      </c>
      <c r="B37" s="442"/>
      <c r="C37" s="1159" t="e">
        <f>R37</f>
        <v>#DIV/0!</v>
      </c>
      <c r="D37" s="1159"/>
      <c r="E37" s="1159"/>
      <c r="F37" s="1159"/>
      <c r="G37" s="1159"/>
      <c r="H37" s="1159"/>
      <c r="I37" s="1159"/>
      <c r="J37" s="1159"/>
      <c r="K37" s="714"/>
      <c r="L37" s="2720"/>
      <c r="M37" s="2721"/>
      <c r="N37" s="2721"/>
      <c r="O37" s="2721"/>
      <c r="P37" s="3712" t="str">
        <f>A37</f>
        <v>估价对象XX用房的比较价值（楼面单价，元/平方米）</v>
      </c>
      <c r="Q37" s="3713"/>
      <c r="R37" s="3791" t="e">
        <f>IF(F1="售价",ROUND(IF(D36="简单平均",AVERAGE(R36:W36),R36*F36+T36*H36+V36*J36),0),ROUND(IF(D36="简单平均",AVERAGE(R36:V36),R36*F36+T36*H36+V36*J36),1))</f>
        <v>#DIV/0!</v>
      </c>
      <c r="S37" s="3791"/>
      <c r="T37" s="3791"/>
      <c r="U37" s="3791"/>
      <c r="V37" s="3791"/>
      <c r="W37" s="3791"/>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1795</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1676</v>
      </c>
      <c r="B46" s="455"/>
      <c r="C46" s="1180" t="str">
        <f>YEAR(C7)&amp;"-"&amp;MONTH(C7)</f>
        <v>2024-6</v>
      </c>
      <c r="D46" s="1181">
        <f>EDATE(C46,-1)</f>
        <v>45413</v>
      </c>
      <c r="E46" s="1181">
        <f t="shared" ref="E46:O46" si="16">EDATE(D46,-1)</f>
        <v>45383</v>
      </c>
      <c r="F46" s="1181">
        <f t="shared" si="16"/>
        <v>45352</v>
      </c>
      <c r="G46" s="1181">
        <f t="shared" si="16"/>
        <v>45323</v>
      </c>
      <c r="H46" s="1181">
        <f t="shared" si="16"/>
        <v>45292</v>
      </c>
      <c r="I46" s="1181">
        <f t="shared" si="16"/>
        <v>45261</v>
      </c>
      <c r="J46" s="1181">
        <f t="shared" si="16"/>
        <v>45231</v>
      </c>
      <c r="K46" s="1181">
        <f t="shared" si="16"/>
        <v>45200</v>
      </c>
      <c r="L46" s="1181">
        <f t="shared" si="16"/>
        <v>45170</v>
      </c>
      <c r="M46" s="1181">
        <f t="shared" si="16"/>
        <v>45139</v>
      </c>
      <c r="N46" s="1181">
        <f t="shared" si="16"/>
        <v>45108</v>
      </c>
      <c r="O46" s="1181">
        <f t="shared" si="16"/>
        <v>45078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1713</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1678</v>
      </c>
      <c r="B49" s="459"/>
      <c r="C49" s="471" t="s">
        <v>1773</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1716</v>
      </c>
      <c r="B51" s="477" t="s">
        <v>1682</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1685</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1860</v>
      </c>
      <c r="C63" s="527" t="s">
        <v>1718</v>
      </c>
      <c r="D63" s="527" t="s">
        <v>1719</v>
      </c>
      <c r="E63" s="527" t="s">
        <v>1720</v>
      </c>
      <c r="F63" s="527" t="s">
        <v>1721</v>
      </c>
      <c r="G63" s="527" t="s">
        <v>1722</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1810</v>
      </c>
      <c r="C65" s="607" t="s">
        <v>1796</v>
      </c>
      <c r="D65" s="607" t="s">
        <v>1797</v>
      </c>
      <c r="E65" s="607" t="s">
        <v>1798</v>
      </c>
      <c r="F65" s="607" t="s">
        <v>1799</v>
      </c>
      <c r="G65" s="607" t="s">
        <v>1800</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1730</v>
      </c>
      <c r="C67" s="527" t="s">
        <v>1718</v>
      </c>
      <c r="D67" s="527" t="s">
        <v>1719</v>
      </c>
      <c r="E67" s="527" t="s">
        <v>1720</v>
      </c>
      <c r="F67" s="527" t="s">
        <v>1721</v>
      </c>
      <c r="G67" s="527" t="s">
        <v>1722</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1849</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1691</v>
      </c>
      <c r="B77" s="477" t="s">
        <v>1737</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1853</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1861</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1863</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8" t="e">
        <f>F65</f>
        <v>#DIV/0!</v>
      </c>
      <c r="C2" s="903"/>
      <c r="D2" s="903"/>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30" ht="15">
      <c r="A4" s="355" t="s">
        <v>1766</v>
      </c>
      <c r="B4" s="356"/>
      <c r="C4" s="3729" t="s">
        <v>1767</v>
      </c>
      <c r="D4" s="3730"/>
      <c r="E4" s="3731" t="s">
        <v>1768</v>
      </c>
      <c r="F4" s="3732"/>
      <c r="G4" s="3729" t="s">
        <v>1769</v>
      </c>
      <c r="H4" s="3730"/>
      <c r="I4" s="3729" t="s">
        <v>1770</v>
      </c>
      <c r="J4" s="3730"/>
      <c r="K4" s="559" t="s">
        <v>1771</v>
      </c>
      <c r="L4" s="2711"/>
      <c r="M4" s="2712"/>
      <c r="N4" s="2712"/>
      <c r="O4" s="2712"/>
      <c r="P4" s="3733" t="s">
        <v>1772</v>
      </c>
      <c r="Q4" s="3734"/>
      <c r="R4" s="3739" t="s">
        <v>1768</v>
      </c>
      <c r="S4" s="3740"/>
      <c r="T4" s="3739" t="s">
        <v>1769</v>
      </c>
      <c r="U4" s="3740"/>
      <c r="V4" s="3724" t="s">
        <v>1770</v>
      </c>
      <c r="W4" s="3724"/>
      <c r="X4" s="1351"/>
      <c r="Y4" s="3739" t="s">
        <v>1772</v>
      </c>
      <c r="Z4" s="3740"/>
      <c r="AA4" s="3726" t="s">
        <v>1768</v>
      </c>
      <c r="AB4" s="3727" t="s">
        <v>1769</v>
      </c>
      <c r="AC4" s="3726" t="s">
        <v>1770</v>
      </c>
    </row>
    <row r="5" spans="1:30" ht="15">
      <c r="A5" s="358"/>
      <c r="B5" s="359"/>
      <c r="C5" s="3747" t="s">
        <v>1670</v>
      </c>
      <c r="D5" s="3748"/>
      <c r="E5" s="3754" t="s">
        <v>1671</v>
      </c>
      <c r="F5" s="3755"/>
      <c r="G5" s="3747" t="s">
        <v>1672</v>
      </c>
      <c r="H5" s="3748"/>
      <c r="I5" s="3747" t="s">
        <v>1673</v>
      </c>
      <c r="J5" s="3748"/>
      <c r="K5" s="559"/>
      <c r="L5" s="2711"/>
      <c r="M5" s="2712"/>
      <c r="N5" s="2712"/>
      <c r="O5" s="2712"/>
      <c r="P5" s="3735"/>
      <c r="Q5" s="3736"/>
      <c r="R5" s="3741"/>
      <c r="S5" s="3742"/>
      <c r="T5" s="3741"/>
      <c r="U5" s="3742"/>
      <c r="V5" s="3724"/>
      <c r="W5" s="3724"/>
      <c r="X5" s="1351"/>
      <c r="Y5" s="3741"/>
      <c r="Z5" s="3742"/>
      <c r="AA5" s="3727"/>
      <c r="AB5" s="3727"/>
      <c r="AC5" s="3727"/>
    </row>
    <row r="6" spans="1:30" ht="15.75" thickBot="1">
      <c r="A6" s="360"/>
      <c r="B6" s="361"/>
      <c r="C6" s="3745" t="s">
        <v>1674</v>
      </c>
      <c r="D6" s="3746"/>
      <c r="E6" s="3752" t="s">
        <v>1674</v>
      </c>
      <c r="F6" s="3753"/>
      <c r="G6" s="3745" t="s">
        <v>1674</v>
      </c>
      <c r="H6" s="3746"/>
      <c r="I6" s="3745" t="s">
        <v>1674</v>
      </c>
      <c r="J6" s="3746"/>
      <c r="K6" s="559" t="s">
        <v>1675</v>
      </c>
      <c r="L6" s="2711"/>
      <c r="M6" s="2712"/>
      <c r="N6" s="2712"/>
      <c r="O6" s="2712"/>
      <c r="P6" s="3737"/>
      <c r="Q6" s="3738"/>
      <c r="R6" s="3741"/>
      <c r="S6" s="3742"/>
      <c r="T6" s="3743"/>
      <c r="U6" s="3744"/>
      <c r="V6" s="3724"/>
      <c r="W6" s="3724"/>
      <c r="X6" s="1351"/>
      <c r="Y6" s="3743"/>
      <c r="Z6" s="3744"/>
      <c r="AA6" s="3728"/>
      <c r="AB6" s="3728"/>
      <c r="AC6" s="3728"/>
    </row>
    <row r="7" spans="1:30" s="108" customFormat="1" ht="15.75" thickBot="1">
      <c r="A7" s="362" t="s">
        <v>1676</v>
      </c>
      <c r="B7" s="363"/>
      <c r="C7" s="364">
        <f>'数据-取费表'!B2</f>
        <v>45467</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49" t="s">
        <v>1677</v>
      </c>
      <c r="Q7" s="3751"/>
      <c r="R7" s="700" t="s">
        <v>14</v>
      </c>
      <c r="S7" s="701">
        <f t="shared" ref="S7:S15" si="0">F7</f>
        <v>0</v>
      </c>
      <c r="T7" s="700" t="s">
        <v>14</v>
      </c>
      <c r="U7" s="701">
        <f t="shared" ref="U7:U15" si="1">H7</f>
        <v>0</v>
      </c>
      <c r="V7" s="700" t="s">
        <v>14</v>
      </c>
      <c r="W7" s="701">
        <f t="shared" ref="W7:W15" si="2">J7</f>
        <v>0</v>
      </c>
      <c r="X7" s="702"/>
      <c r="Y7" s="3749" t="s">
        <v>1677</v>
      </c>
      <c r="Z7" s="3750"/>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49" t="s">
        <v>1680</v>
      </c>
      <c r="Q8" s="3750"/>
      <c r="R8" s="700" t="s">
        <v>14</v>
      </c>
      <c r="S8" s="701">
        <f t="shared" si="0"/>
        <v>0</v>
      </c>
      <c r="T8" s="700" t="s">
        <v>14</v>
      </c>
      <c r="U8" s="701">
        <f t="shared" si="1"/>
        <v>0</v>
      </c>
      <c r="V8" s="700" t="s">
        <v>14</v>
      </c>
      <c r="W8" s="701">
        <f t="shared" si="2"/>
        <v>0</v>
      </c>
      <c r="X8" s="702"/>
      <c r="Y8" s="3749" t="s">
        <v>1680</v>
      </c>
      <c r="Z8" s="3750"/>
      <c r="AA8" s="703" t="e">
        <f t="shared" ref="AA8:AA45" si="3">D8/F8</f>
        <v>#DIV/0!</v>
      </c>
      <c r="AB8" s="703" t="e">
        <f t="shared" ref="AB8:AB45" si="4">D8/H8</f>
        <v>#DIV/0!</v>
      </c>
      <c r="AC8" s="703" t="e">
        <f t="shared" ref="AC8:AC45" si="5">D8/J8</f>
        <v>#DIV/0!</v>
      </c>
    </row>
    <row r="9" spans="1:30" s="108" customFormat="1">
      <c r="A9" s="369" t="s">
        <v>1681</v>
      </c>
      <c r="B9" s="63" t="s">
        <v>1682</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0" t="s">
        <v>1683</v>
      </c>
      <c r="Q9" s="1339" t="str">
        <f t="shared" ref="Q9:Q15" si="6">B9</f>
        <v>用途</v>
      </c>
      <c r="R9" s="700" t="s">
        <v>14</v>
      </c>
      <c r="S9" s="701">
        <f t="shared" si="0"/>
        <v>100</v>
      </c>
      <c r="T9" s="700" t="s">
        <v>14</v>
      </c>
      <c r="U9" s="701">
        <f t="shared" si="1"/>
        <v>100</v>
      </c>
      <c r="V9" s="700" t="s">
        <v>14</v>
      </c>
      <c r="W9" s="701">
        <f t="shared" si="2"/>
        <v>100</v>
      </c>
      <c r="X9" s="702"/>
      <c r="Y9" s="3607"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116</v>
      </c>
      <c r="G10" s="414"/>
      <c r="H10" s="127">
        <f>ROUND(100/'数据-取费表'!G16,0)</f>
        <v>116</v>
      </c>
      <c r="I10" s="414"/>
      <c r="J10" s="127">
        <f>ROUND(100/'数据-取费表'!G16,0)</f>
        <v>116</v>
      </c>
      <c r="K10" s="619"/>
      <c r="L10" s="2715"/>
      <c r="M10" s="2716"/>
      <c r="N10" s="2716"/>
      <c r="O10" s="2769"/>
      <c r="P10" s="3710"/>
      <c r="Q10" s="1339" t="str">
        <f t="shared" si="6"/>
        <v>土地使用年限（年）</v>
      </c>
      <c r="R10" s="700" t="s">
        <v>14</v>
      </c>
      <c r="S10" s="701">
        <f t="shared" si="0"/>
        <v>116</v>
      </c>
      <c r="T10" s="700" t="s">
        <v>14</v>
      </c>
      <c r="U10" s="701">
        <f t="shared" si="1"/>
        <v>116</v>
      </c>
      <c r="V10" s="700" t="s">
        <v>14</v>
      </c>
      <c r="W10" s="701">
        <f t="shared" si="2"/>
        <v>116</v>
      </c>
      <c r="X10" s="702"/>
      <c r="Y10" s="3607"/>
      <c r="Z10" s="52" t="str">
        <f t="shared" si="7"/>
        <v>土地使用年限（年）</v>
      </c>
      <c r="AA10" s="703">
        <f t="shared" si="3"/>
        <v>0.86206896551724133</v>
      </c>
      <c r="AB10" s="703">
        <f t="shared" si="4"/>
        <v>0.86206896551724133</v>
      </c>
      <c r="AC10" s="703">
        <f t="shared" si="5"/>
        <v>0.86206896551724133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10"/>
      <c r="Q11" s="1339" t="str">
        <f t="shared" si="6"/>
        <v>容积率</v>
      </c>
      <c r="R11" s="700" t="s">
        <v>14</v>
      </c>
      <c r="S11" s="701" t="e">
        <f t="shared" si="0"/>
        <v>#N/A</v>
      </c>
      <c r="T11" s="700" t="s">
        <v>14</v>
      </c>
      <c r="U11" s="701" t="e">
        <f t="shared" si="1"/>
        <v>#N/A</v>
      </c>
      <c r="V11" s="700" t="s">
        <v>14</v>
      </c>
      <c r="W11" s="701" t="e">
        <f t="shared" si="2"/>
        <v>#N/A</v>
      </c>
      <c r="X11" s="702"/>
      <c r="Y11" s="3607"/>
      <c r="Z11" s="52" t="str">
        <f t="shared" si="7"/>
        <v>容积率</v>
      </c>
      <c r="AA11" s="703" t="e">
        <f t="shared" si="3"/>
        <v>#N/A</v>
      </c>
      <c r="AB11" s="703" t="e">
        <f t="shared" si="4"/>
        <v>#N/A</v>
      </c>
      <c r="AC11" s="703" t="e">
        <f t="shared" si="5"/>
        <v>#N/A</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10"/>
      <c r="Q12" s="1339" t="str">
        <f t="shared" si="6"/>
        <v>配建</v>
      </c>
      <c r="R12" s="700" t="s">
        <v>14</v>
      </c>
      <c r="S12" s="701">
        <f t="shared" si="0"/>
        <v>100</v>
      </c>
      <c r="T12" s="700" t="s">
        <v>14</v>
      </c>
      <c r="U12" s="701">
        <f t="shared" si="1"/>
        <v>100</v>
      </c>
      <c r="V12" s="700" t="s">
        <v>14</v>
      </c>
      <c r="W12" s="701">
        <f t="shared" si="2"/>
        <v>100</v>
      </c>
      <c r="X12" s="702"/>
      <c r="Y12" s="3607"/>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10"/>
      <c r="Q13" s="1339">
        <f t="shared" si="6"/>
        <v>111</v>
      </c>
      <c r="R13" s="700" t="s">
        <v>14</v>
      </c>
      <c r="S13" s="701">
        <f t="shared" si="0"/>
        <v>100</v>
      </c>
      <c r="T13" s="700" t="s">
        <v>14</v>
      </c>
      <c r="U13" s="701">
        <f t="shared" si="1"/>
        <v>100</v>
      </c>
      <c r="V13" s="700" t="s">
        <v>14</v>
      </c>
      <c r="W13" s="701">
        <f t="shared" si="2"/>
        <v>100</v>
      </c>
      <c r="X13" s="702"/>
      <c r="Y13" s="3607"/>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10"/>
      <c r="Q14" s="1339">
        <f t="shared" si="6"/>
        <v>111</v>
      </c>
      <c r="R14" s="700" t="s">
        <v>14</v>
      </c>
      <c r="S14" s="701">
        <f t="shared" si="0"/>
        <v>100</v>
      </c>
      <c r="T14" s="700" t="s">
        <v>14</v>
      </c>
      <c r="U14" s="701">
        <f t="shared" si="1"/>
        <v>100</v>
      </c>
      <c r="V14" s="700" t="s">
        <v>14</v>
      </c>
      <c r="W14" s="701">
        <f t="shared" si="2"/>
        <v>100</v>
      </c>
      <c r="X14" s="702"/>
      <c r="Y14" s="3607"/>
      <c r="Z14" s="52">
        <f t="shared" si="7"/>
        <v>111</v>
      </c>
      <c r="AA14" s="703">
        <f>D14/F14</f>
        <v>1</v>
      </c>
      <c r="AB14" s="703">
        <f>D14/H14</f>
        <v>1</v>
      </c>
      <c r="AC14" s="703">
        <f>D14/J14</f>
        <v>1</v>
      </c>
    </row>
    <row r="15" spans="1:30" ht="99.7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17" t="s">
        <v>1688</v>
      </c>
      <c r="Q15" s="1348" t="str">
        <f t="shared" si="6"/>
        <v>居住社区成熟度</v>
      </c>
      <c r="R15" s="704" t="s">
        <v>14</v>
      </c>
      <c r="S15" s="705">
        <f t="shared" si="0"/>
        <v>100</v>
      </c>
      <c r="T15" s="704" t="s">
        <v>14</v>
      </c>
      <c r="U15" s="705">
        <f t="shared" si="1"/>
        <v>100</v>
      </c>
      <c r="V15" s="704" t="s">
        <v>14</v>
      </c>
      <c r="W15" s="705">
        <f t="shared" si="2"/>
        <v>100</v>
      </c>
      <c r="X15" s="1351"/>
      <c r="Y15" s="3717" t="s">
        <v>1688</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9"/>
      <c r="L16" s="2718"/>
      <c r="M16" s="2712"/>
      <c r="N16" s="2712"/>
      <c r="O16" s="2770"/>
      <c r="P16" s="3718"/>
      <c r="Q16" s="1348"/>
      <c r="R16" s="704"/>
      <c r="S16" s="705"/>
      <c r="T16" s="704"/>
      <c r="U16" s="705"/>
      <c r="V16" s="704"/>
      <c r="W16" s="705"/>
      <c r="X16" s="1351"/>
      <c r="Y16" s="3718"/>
      <c r="Z16" s="1352"/>
      <c r="AA16" s="1349">
        <v>1</v>
      </c>
      <c r="AB16" s="1349">
        <v>1</v>
      </c>
      <c r="AC16" s="1349">
        <v>1</v>
      </c>
    </row>
    <row r="17" spans="1:29" ht="71.25">
      <c r="A17" s="379"/>
      <c r="B17" s="402" t="s">
        <v>1774</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18"/>
      <c r="Q17" s="1348" t="str">
        <f>B17</f>
        <v>商业繁华度</v>
      </c>
      <c r="R17" s="704" t="s">
        <v>14</v>
      </c>
      <c r="S17" s="705">
        <f>F17</f>
        <v>100</v>
      </c>
      <c r="T17" s="704" t="s">
        <v>14</v>
      </c>
      <c r="U17" s="705">
        <f>H17</f>
        <v>100</v>
      </c>
      <c r="V17" s="704" t="s">
        <v>14</v>
      </c>
      <c r="W17" s="705">
        <f>J17</f>
        <v>100</v>
      </c>
      <c r="X17" s="1351"/>
      <c r="Y17" s="3718"/>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9"/>
      <c r="L18" s="2718"/>
      <c r="M18" s="2712"/>
      <c r="N18" s="2712"/>
      <c r="O18" s="2770"/>
      <c r="P18" s="3718"/>
      <c r="Q18" s="1348"/>
      <c r="R18" s="704"/>
      <c r="S18" s="705"/>
      <c r="T18" s="704"/>
      <c r="U18" s="705"/>
      <c r="V18" s="704"/>
      <c r="W18" s="705"/>
      <c r="X18" s="1351"/>
      <c r="Y18" s="3718"/>
      <c r="Z18" s="1352"/>
      <c r="AA18" s="1349">
        <v>1</v>
      </c>
      <c r="AB18" s="1349">
        <v>1</v>
      </c>
      <c r="AC18" s="1349">
        <v>1</v>
      </c>
    </row>
    <row r="19" spans="1:29" ht="71.25">
      <c r="A19" s="379"/>
      <c r="B19" s="402" t="s">
        <v>1808</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18"/>
      <c r="Q19" s="1348" t="str">
        <f>B19</f>
        <v>办公集聚程度</v>
      </c>
      <c r="R19" s="704" t="s">
        <v>14</v>
      </c>
      <c r="S19" s="705">
        <f>F19</f>
        <v>100</v>
      </c>
      <c r="T19" s="704" t="s">
        <v>14</v>
      </c>
      <c r="U19" s="705">
        <f>H19</f>
        <v>100</v>
      </c>
      <c r="V19" s="704" t="s">
        <v>14</v>
      </c>
      <c r="W19" s="705">
        <f>J19</f>
        <v>100</v>
      </c>
      <c r="X19" s="1351"/>
      <c r="Y19" s="3718"/>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9"/>
      <c r="L20" s="2718"/>
      <c r="M20" s="2712"/>
      <c r="N20" s="2712"/>
      <c r="O20" s="2770"/>
      <c r="P20" s="3718"/>
      <c r="Q20" s="1348"/>
      <c r="R20" s="704"/>
      <c r="S20" s="705"/>
      <c r="T20" s="704"/>
      <c r="U20" s="705"/>
      <c r="V20" s="704"/>
      <c r="W20" s="705"/>
      <c r="X20" s="1351"/>
      <c r="Y20" s="3718"/>
      <c r="Z20" s="1352"/>
      <c r="AA20" s="1349">
        <v>1</v>
      </c>
      <c r="AB20" s="1349">
        <v>1</v>
      </c>
      <c r="AC20" s="1349">
        <v>1</v>
      </c>
    </row>
    <row r="21" spans="1:29" ht="85.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18"/>
      <c r="Q21" s="1348" t="str">
        <f>B21</f>
        <v>交通便捷度</v>
      </c>
      <c r="R21" s="704" t="s">
        <v>14</v>
      </c>
      <c r="S21" s="705">
        <f>F21</f>
        <v>100</v>
      </c>
      <c r="T21" s="704" t="s">
        <v>14</v>
      </c>
      <c r="U21" s="705">
        <f>H21</f>
        <v>100</v>
      </c>
      <c r="V21" s="704" t="s">
        <v>14</v>
      </c>
      <c r="W21" s="705">
        <f>J21</f>
        <v>100</v>
      </c>
      <c r="X21" s="1351"/>
      <c r="Y21" s="3718"/>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9"/>
      <c r="L22" s="2718"/>
      <c r="M22" s="2712"/>
      <c r="N22" s="2712"/>
      <c r="O22" s="2770"/>
      <c r="P22" s="3718"/>
      <c r="Q22" s="1348"/>
      <c r="R22" s="704"/>
      <c r="S22" s="705"/>
      <c r="T22" s="704"/>
      <c r="U22" s="705"/>
      <c r="V22" s="704"/>
      <c r="W22" s="705"/>
      <c r="X22" s="1351"/>
      <c r="Y22" s="3718"/>
      <c r="Z22" s="1352"/>
      <c r="AA22" s="1349">
        <v>1</v>
      </c>
      <c r="AB22" s="1349">
        <v>1</v>
      </c>
      <c r="AC22" s="1349">
        <v>1</v>
      </c>
    </row>
    <row r="23" spans="1:29" ht="15">
      <c r="A23" s="358"/>
      <c r="B23" s="402" t="s">
        <v>1868</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18"/>
      <c r="Q23" s="1348" t="str">
        <f t="shared" ref="Q23:Q37" si="8">B23</f>
        <v>区域土地利用方向</v>
      </c>
      <c r="R23" s="704" t="s">
        <v>14</v>
      </c>
      <c r="S23" s="705">
        <f>F23</f>
        <v>100</v>
      </c>
      <c r="T23" s="704" t="s">
        <v>14</v>
      </c>
      <c r="U23" s="705">
        <f>H23</f>
        <v>100</v>
      </c>
      <c r="V23" s="704" t="s">
        <v>14</v>
      </c>
      <c r="W23" s="705">
        <f>J23</f>
        <v>100</v>
      </c>
      <c r="X23" s="1351"/>
      <c r="Y23" s="3718"/>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18"/>
      <c r="Q24" s="1348"/>
      <c r="R24" s="704"/>
      <c r="S24" s="705"/>
      <c r="T24" s="704"/>
      <c r="U24" s="705"/>
      <c r="V24" s="704"/>
      <c r="W24" s="705"/>
      <c r="X24" s="1351"/>
      <c r="Y24" s="3718"/>
      <c r="Z24" s="1352"/>
      <c r="AA24" s="1349"/>
      <c r="AB24" s="1349"/>
      <c r="AC24" s="1349"/>
    </row>
    <row r="25" spans="1:29" ht="57">
      <c r="A25" s="358"/>
      <c r="B25" s="1127" t="s">
        <v>1869</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18"/>
      <c r="Q25" s="1348" t="str">
        <f t="shared" si="8"/>
        <v>自然及人文环境状况</v>
      </c>
      <c r="R25" s="704" t="s">
        <v>14</v>
      </c>
      <c r="S25" s="705">
        <f>F25</f>
        <v>100</v>
      </c>
      <c r="T25" s="704" t="s">
        <v>14</v>
      </c>
      <c r="U25" s="705">
        <f>H25</f>
        <v>100</v>
      </c>
      <c r="V25" s="704" t="s">
        <v>14</v>
      </c>
      <c r="W25" s="705">
        <f>J25</f>
        <v>100</v>
      </c>
      <c r="X25" s="1351"/>
      <c r="Y25" s="3718"/>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9"/>
      <c r="L26" s="2718"/>
      <c r="M26" s="2712"/>
      <c r="N26" s="2712"/>
      <c r="O26" s="2770"/>
      <c r="P26" s="3718"/>
      <c r="Q26" s="1348"/>
      <c r="R26" s="704"/>
      <c r="S26" s="705"/>
      <c r="T26" s="704"/>
      <c r="U26" s="705"/>
      <c r="V26" s="704"/>
      <c r="W26" s="705"/>
      <c r="X26" s="1351"/>
      <c r="Y26" s="3718"/>
      <c r="Z26" s="1352"/>
      <c r="AA26" s="1349">
        <v>1</v>
      </c>
      <c r="AB26" s="1349">
        <v>1</v>
      </c>
      <c r="AC26" s="1349">
        <v>1</v>
      </c>
    </row>
    <row r="27" spans="1:29" s="108" customFormat="1" ht="42.75">
      <c r="A27" s="596"/>
      <c r="B27" s="1127"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18"/>
      <c r="Q27" s="1339" t="str">
        <f t="shared" si="8"/>
        <v>公共配套设施</v>
      </c>
      <c r="R27" s="700" t="s">
        <v>14</v>
      </c>
      <c r="S27" s="701">
        <f>F27</f>
        <v>100</v>
      </c>
      <c r="T27" s="700" t="s">
        <v>14</v>
      </c>
      <c r="U27" s="701">
        <f>H27</f>
        <v>100</v>
      </c>
      <c r="V27" s="700" t="s">
        <v>14</v>
      </c>
      <c r="W27" s="701">
        <f>J27</f>
        <v>100</v>
      </c>
      <c r="X27" s="702"/>
      <c r="Y27" s="3718"/>
      <c r="Z27" s="52" t="str">
        <f>Q27</f>
        <v>公共配套设施</v>
      </c>
      <c r="AA27" s="1349">
        <f>D27/F27</f>
        <v>1</v>
      </c>
      <c r="AB27" s="1349">
        <f>D27/H27</f>
        <v>1</v>
      </c>
      <c r="AC27" s="1349">
        <f>D27/J27</f>
        <v>1</v>
      </c>
    </row>
    <row r="28" spans="1:29" s="108" customFormat="1" ht="15">
      <c r="A28" s="596"/>
      <c r="B28" s="407"/>
      <c r="C28" s="1974"/>
      <c r="D28" s="399"/>
      <c r="E28" s="1900"/>
      <c r="F28" s="399"/>
      <c r="G28" s="1900"/>
      <c r="H28" s="399"/>
      <c r="I28" s="398"/>
      <c r="J28" s="399"/>
      <c r="K28" s="619"/>
      <c r="L28" s="2713"/>
      <c r="M28" s="2714"/>
      <c r="N28" s="2714"/>
      <c r="O28" s="2768"/>
      <c r="P28" s="3718"/>
      <c r="Q28" s="1339"/>
      <c r="R28" s="700"/>
      <c r="S28" s="701"/>
      <c r="T28" s="700"/>
      <c r="U28" s="701"/>
      <c r="V28" s="700"/>
      <c r="W28" s="701"/>
      <c r="X28" s="702"/>
      <c r="Y28" s="3718"/>
      <c r="Z28" s="52"/>
      <c r="AA28" s="1349">
        <v>1</v>
      </c>
      <c r="AB28" s="1349">
        <v>1</v>
      </c>
      <c r="AC28" s="1349">
        <v>1</v>
      </c>
    </row>
    <row r="29" spans="1:29" s="108" customFormat="1" ht="28.5">
      <c r="A29" s="596"/>
      <c r="B29" s="1127"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18"/>
      <c r="Q29" s="1339" t="str">
        <f t="shared" ref="Q29" si="9">B29</f>
        <v>基础设施水平</v>
      </c>
      <c r="R29" s="700" t="s">
        <v>14</v>
      </c>
      <c r="S29" s="701">
        <f>F29</f>
        <v>100</v>
      </c>
      <c r="T29" s="700" t="s">
        <v>14</v>
      </c>
      <c r="U29" s="701">
        <f>H29</f>
        <v>100</v>
      </c>
      <c r="V29" s="700" t="s">
        <v>14</v>
      </c>
      <c r="W29" s="701">
        <f>J29</f>
        <v>100</v>
      </c>
      <c r="X29" s="702"/>
      <c r="Y29" s="3718"/>
      <c r="Z29" s="52" t="str">
        <f>Q29</f>
        <v>基础设施水平</v>
      </c>
      <c r="AA29" s="1349">
        <f>D29/F29</f>
        <v>1</v>
      </c>
      <c r="AB29" s="1349">
        <f>D29/H29</f>
        <v>1</v>
      </c>
      <c r="AC29" s="1349">
        <f>D29/J29</f>
        <v>1</v>
      </c>
    </row>
    <row r="30" spans="1:29" s="108" customFormat="1" ht="15">
      <c r="A30" s="596"/>
      <c r="B30" s="407"/>
      <c r="C30" s="1974"/>
      <c r="D30" s="399"/>
      <c r="E30" s="1975"/>
      <c r="F30" s="399"/>
      <c r="G30" s="1975"/>
      <c r="H30" s="399"/>
      <c r="I30" s="1975"/>
      <c r="J30" s="399"/>
      <c r="K30" s="619"/>
      <c r="L30" s="2713"/>
      <c r="M30" s="2714"/>
      <c r="N30" s="2714"/>
      <c r="O30" s="2768"/>
      <c r="P30" s="3718"/>
      <c r="Q30" s="1339"/>
      <c r="R30" s="700"/>
      <c r="S30" s="701"/>
      <c r="T30" s="700"/>
      <c r="U30" s="701"/>
      <c r="V30" s="700"/>
      <c r="W30" s="701"/>
      <c r="X30" s="702"/>
      <c r="Y30" s="3718"/>
      <c r="Z30" s="52"/>
      <c r="AA30" s="1349">
        <v>1</v>
      </c>
      <c r="AB30" s="1349">
        <v>1</v>
      </c>
      <c r="AC30" s="1349">
        <v>1</v>
      </c>
    </row>
    <row r="31" spans="1:29" ht="15">
      <c r="A31" s="379"/>
      <c r="B31" s="407" t="s">
        <v>1777</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18"/>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718"/>
      <c r="Z31" s="1352" t="str">
        <f t="shared" ref="Z31:Z45" si="13">Q31</f>
        <v>临街状况</v>
      </c>
      <c r="AA31" s="1349">
        <f t="shared" si="3"/>
        <v>1</v>
      </c>
      <c r="AB31" s="1349">
        <f t="shared" si="4"/>
        <v>1</v>
      </c>
      <c r="AC31" s="1349">
        <f t="shared" si="5"/>
        <v>1</v>
      </c>
    </row>
    <row r="32" spans="1:29" ht="27">
      <c r="A32" s="379"/>
      <c r="B32" s="1127"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18"/>
      <c r="Q32" s="1348" t="str">
        <f t="shared" si="8"/>
        <v>毗邻道路的类型与等级</v>
      </c>
      <c r="R32" s="704" t="s">
        <v>14</v>
      </c>
      <c r="S32" s="705">
        <f t="shared" si="10"/>
        <v>100</v>
      </c>
      <c r="T32" s="704" t="s">
        <v>14</v>
      </c>
      <c r="U32" s="705">
        <f t="shared" si="11"/>
        <v>100</v>
      </c>
      <c r="V32" s="704" t="s">
        <v>14</v>
      </c>
      <c r="W32" s="705">
        <f t="shared" si="12"/>
        <v>100</v>
      </c>
      <c r="X32" s="1351"/>
      <c r="Y32" s="3718"/>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18"/>
      <c r="Q33" s="1348"/>
      <c r="R33" s="704"/>
      <c r="S33" s="705"/>
      <c r="T33" s="704"/>
      <c r="U33" s="705"/>
      <c r="V33" s="704"/>
      <c r="W33" s="705"/>
      <c r="X33" s="1351"/>
      <c r="Y33" s="3718"/>
      <c r="Z33" s="1352"/>
      <c r="AA33" s="1349">
        <v>1</v>
      </c>
      <c r="AB33" s="1349">
        <v>1</v>
      </c>
      <c r="AC33" s="1349">
        <v>1</v>
      </c>
    </row>
    <row r="34" spans="1:29" ht="15">
      <c r="A34" s="379"/>
      <c r="B34" s="375" t="s">
        <v>1870</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18"/>
      <c r="Q34" s="1348" t="str">
        <f t="shared" si="8"/>
        <v>土地级别</v>
      </c>
      <c r="R34" s="704" t="s">
        <v>14</v>
      </c>
      <c r="S34" s="705">
        <f t="shared" si="10"/>
        <v>100</v>
      </c>
      <c r="T34" s="704" t="s">
        <v>14</v>
      </c>
      <c r="U34" s="705">
        <f t="shared" si="11"/>
        <v>100</v>
      </c>
      <c r="V34" s="704" t="s">
        <v>14</v>
      </c>
      <c r="W34" s="705">
        <f t="shared" si="12"/>
        <v>100</v>
      </c>
      <c r="X34" s="1351"/>
      <c r="Y34" s="3718"/>
      <c r="Z34" s="1352" t="str">
        <f t="shared" si="13"/>
        <v>土地级别</v>
      </c>
      <c r="AA34" s="1349">
        <f t="shared" si="3"/>
        <v>1</v>
      </c>
      <c r="AB34" s="1349">
        <f t="shared" si="4"/>
        <v>1</v>
      </c>
      <c r="AC34" s="1349">
        <f t="shared" si="5"/>
        <v>1</v>
      </c>
    </row>
    <row r="35" spans="1:29" ht="15">
      <c r="A35" s="358"/>
      <c r="B35" s="1129">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18"/>
      <c r="Q35" s="1348">
        <f t="shared" si="8"/>
        <v>111</v>
      </c>
      <c r="R35" s="704" t="s">
        <v>14</v>
      </c>
      <c r="S35" s="705">
        <f t="shared" si="10"/>
        <v>100</v>
      </c>
      <c r="T35" s="704" t="s">
        <v>14</v>
      </c>
      <c r="U35" s="705">
        <f t="shared" si="11"/>
        <v>100</v>
      </c>
      <c r="V35" s="704" t="s">
        <v>14</v>
      </c>
      <c r="W35" s="705">
        <f t="shared" si="12"/>
        <v>100</v>
      </c>
      <c r="X35" s="1351"/>
      <c r="Y35" s="3718"/>
      <c r="Z35" s="1352">
        <f t="shared" si="13"/>
        <v>111</v>
      </c>
      <c r="AA35" s="1349">
        <f t="shared" si="3"/>
        <v>1</v>
      </c>
      <c r="AB35" s="1349">
        <f t="shared" si="4"/>
        <v>1</v>
      </c>
      <c r="AC35" s="1349">
        <f t="shared" si="5"/>
        <v>1</v>
      </c>
    </row>
    <row r="36" spans="1:29" ht="15">
      <c r="A36" s="622"/>
      <c r="B36" s="1130">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90" t="s">
        <v>1693</v>
      </c>
      <c r="Q36" s="1348">
        <f t="shared" si="8"/>
        <v>111</v>
      </c>
      <c r="R36" s="704" t="s">
        <v>14</v>
      </c>
      <c r="S36" s="705">
        <f t="shared" si="10"/>
        <v>100</v>
      </c>
      <c r="T36" s="704" t="s">
        <v>14</v>
      </c>
      <c r="U36" s="705">
        <f t="shared" si="11"/>
        <v>100</v>
      </c>
      <c r="V36" s="704" t="s">
        <v>14</v>
      </c>
      <c r="W36" s="705">
        <f t="shared" si="12"/>
        <v>100</v>
      </c>
      <c r="X36" s="1351"/>
      <c r="Y36" s="3722" t="s">
        <v>1693</v>
      </c>
      <c r="Z36" s="1352">
        <f t="shared" si="13"/>
        <v>111</v>
      </c>
      <c r="AA36" s="1349">
        <f t="shared" si="3"/>
        <v>1</v>
      </c>
      <c r="AB36" s="1349">
        <f t="shared" si="4"/>
        <v>1</v>
      </c>
      <c r="AC36" s="1349">
        <f t="shared" si="5"/>
        <v>1</v>
      </c>
    </row>
    <row r="37" spans="1:29" s="422" customFormat="1" ht="15.75" thickBot="1">
      <c r="A37" s="623"/>
      <c r="B37" s="1131">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22"/>
      <c r="Q37" s="1348">
        <f t="shared" si="8"/>
        <v>111</v>
      </c>
      <c r="R37" s="707" t="s">
        <v>14</v>
      </c>
      <c r="S37" s="708">
        <f t="shared" si="10"/>
        <v>100</v>
      </c>
      <c r="T37" s="707" t="s">
        <v>14</v>
      </c>
      <c r="U37" s="708">
        <f t="shared" si="11"/>
        <v>100</v>
      </c>
      <c r="V37" s="707" t="s">
        <v>14</v>
      </c>
      <c r="W37" s="708">
        <f t="shared" si="12"/>
        <v>100</v>
      </c>
      <c r="X37" s="709"/>
      <c r="Y37" s="3722"/>
      <c r="Z37" s="710">
        <f t="shared" si="13"/>
        <v>111</v>
      </c>
      <c r="AA37" s="1349">
        <f t="shared" si="3"/>
        <v>1</v>
      </c>
      <c r="AB37" s="1349">
        <f t="shared" si="4"/>
        <v>1</v>
      </c>
      <c r="AC37" s="1349">
        <f t="shared" si="5"/>
        <v>1</v>
      </c>
    </row>
    <row r="38" spans="1:29" ht="15">
      <c r="A38" s="423" t="s">
        <v>1691</v>
      </c>
      <c r="B38" s="407" t="s">
        <v>1871</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22"/>
      <c r="Q38" s="1348" t="str">
        <f>B38</f>
        <v>宗地面积</v>
      </c>
      <c r="R38" s="704" t="s">
        <v>14</v>
      </c>
      <c r="S38" s="705" t="e">
        <f t="shared" si="10"/>
        <v>#N/A</v>
      </c>
      <c r="T38" s="704" t="s">
        <v>14</v>
      </c>
      <c r="U38" s="705" t="e">
        <f t="shared" si="11"/>
        <v>#N/A</v>
      </c>
      <c r="V38" s="704" t="s">
        <v>14</v>
      </c>
      <c r="W38" s="705" t="e">
        <f t="shared" si="12"/>
        <v>#N/A</v>
      </c>
      <c r="X38" s="1351"/>
      <c r="Y38" s="3722"/>
      <c r="Z38" s="1352" t="str">
        <f t="shared" si="13"/>
        <v>宗地面积</v>
      </c>
      <c r="AA38" s="1349" t="e">
        <f t="shared" si="3"/>
        <v>#N/A</v>
      </c>
      <c r="AB38" s="1349" t="e">
        <f t="shared" si="4"/>
        <v>#N/A</v>
      </c>
      <c r="AC38" s="1349" t="e">
        <f t="shared" si="5"/>
        <v>#N/A</v>
      </c>
    </row>
    <row r="39" spans="1:29" ht="15">
      <c r="A39" s="423"/>
      <c r="B39" s="375" t="s">
        <v>1872</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22"/>
      <c r="Q39" s="1348" t="str">
        <f t="shared" ref="Q39:Q45" si="14">B39</f>
        <v>宗地形状</v>
      </c>
      <c r="R39" s="704" t="s">
        <v>14</v>
      </c>
      <c r="S39" s="705">
        <f t="shared" si="10"/>
        <v>100</v>
      </c>
      <c r="T39" s="704" t="s">
        <v>14</v>
      </c>
      <c r="U39" s="705">
        <f t="shared" si="11"/>
        <v>100</v>
      </c>
      <c r="V39" s="704" t="s">
        <v>14</v>
      </c>
      <c r="W39" s="705">
        <f t="shared" si="12"/>
        <v>100</v>
      </c>
      <c r="X39" s="1351"/>
      <c r="Y39" s="3722"/>
      <c r="Z39" s="1352" t="str">
        <f t="shared" si="13"/>
        <v>宗地形状</v>
      </c>
      <c r="AA39" s="1349">
        <f t="shared" si="3"/>
        <v>1</v>
      </c>
      <c r="AB39" s="1349">
        <f t="shared" si="4"/>
        <v>1</v>
      </c>
      <c r="AC39" s="1349">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22"/>
      <c r="Q40" s="1348" t="str">
        <f t="shared" si="14"/>
        <v>临街宽度及深度</v>
      </c>
      <c r="R40" s="704" t="s">
        <v>14</v>
      </c>
      <c r="S40" s="705">
        <f t="shared" si="10"/>
        <v>100</v>
      </c>
      <c r="T40" s="704" t="s">
        <v>14</v>
      </c>
      <c r="U40" s="705">
        <f t="shared" si="11"/>
        <v>100</v>
      </c>
      <c r="V40" s="704" t="s">
        <v>14</v>
      </c>
      <c r="W40" s="705">
        <f t="shared" si="12"/>
        <v>100</v>
      </c>
      <c r="X40" s="1351"/>
      <c r="Y40" s="3722"/>
      <c r="Z40" s="1352" t="str">
        <f t="shared" si="13"/>
        <v>临街宽度及深度</v>
      </c>
      <c r="AA40" s="1349">
        <f t="shared" si="3"/>
        <v>1</v>
      </c>
      <c r="AB40" s="1349">
        <f t="shared" si="4"/>
        <v>1</v>
      </c>
      <c r="AC40" s="1349">
        <f t="shared" si="5"/>
        <v>1</v>
      </c>
    </row>
    <row r="41" spans="1:29" s="108" customFormat="1" ht="15">
      <c r="A41" s="424"/>
      <c r="B41" s="375" t="s">
        <v>1874</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22"/>
      <c r="Q41" s="1348" t="str">
        <f t="shared" si="14"/>
        <v>宗地开发程度</v>
      </c>
      <c r="R41" s="700" t="s">
        <v>14</v>
      </c>
      <c r="S41" s="701">
        <f t="shared" si="10"/>
        <v>100</v>
      </c>
      <c r="T41" s="700" t="s">
        <v>14</v>
      </c>
      <c r="U41" s="701">
        <f t="shared" si="11"/>
        <v>100</v>
      </c>
      <c r="V41" s="700" t="s">
        <v>14</v>
      </c>
      <c r="W41" s="701">
        <f t="shared" si="12"/>
        <v>100</v>
      </c>
      <c r="X41" s="702"/>
      <c r="Y41" s="3722"/>
      <c r="Z41" s="52" t="str">
        <f t="shared" si="13"/>
        <v>宗地开发程度</v>
      </c>
      <c r="AA41" s="703">
        <f t="shared" si="3"/>
        <v>1</v>
      </c>
      <c r="AB41" s="703">
        <f t="shared" si="4"/>
        <v>1</v>
      </c>
      <c r="AC41" s="703">
        <f t="shared" si="5"/>
        <v>1</v>
      </c>
    </row>
    <row r="42" spans="1:29" ht="15">
      <c r="A42" s="423"/>
      <c r="B42" s="375" t="s">
        <v>1875</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22" t="s">
        <v>1693</v>
      </c>
      <c r="Q42" s="1348" t="str">
        <f t="shared" si="14"/>
        <v>工程地质条件</v>
      </c>
      <c r="R42" s="704" t="s">
        <v>14</v>
      </c>
      <c r="S42" s="705">
        <f t="shared" si="10"/>
        <v>100</v>
      </c>
      <c r="T42" s="704" t="s">
        <v>14</v>
      </c>
      <c r="U42" s="705">
        <f t="shared" si="11"/>
        <v>100</v>
      </c>
      <c r="V42" s="704" t="s">
        <v>14</v>
      </c>
      <c r="W42" s="705">
        <f t="shared" si="12"/>
        <v>100</v>
      </c>
      <c r="X42" s="1351"/>
      <c r="Y42" s="3722" t="s">
        <v>1693</v>
      </c>
      <c r="Z42" s="1352" t="str">
        <f t="shared" si="13"/>
        <v>工程地质条件</v>
      </c>
      <c r="AA42" s="1349">
        <f t="shared" si="3"/>
        <v>1</v>
      </c>
      <c r="AB42" s="1349">
        <f t="shared" si="4"/>
        <v>1</v>
      </c>
      <c r="AC42" s="1349">
        <f t="shared" si="5"/>
        <v>1</v>
      </c>
    </row>
    <row r="43" spans="1:29" ht="15">
      <c r="A43" s="423"/>
      <c r="B43" s="1130">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22"/>
      <c r="Q43" s="1348">
        <f t="shared" si="14"/>
        <v>111</v>
      </c>
      <c r="R43" s="704" t="s">
        <v>14</v>
      </c>
      <c r="S43" s="705">
        <f t="shared" si="10"/>
        <v>100</v>
      </c>
      <c r="T43" s="704" t="s">
        <v>14</v>
      </c>
      <c r="U43" s="705">
        <f t="shared" si="11"/>
        <v>100</v>
      </c>
      <c r="V43" s="704" t="s">
        <v>14</v>
      </c>
      <c r="W43" s="705">
        <f t="shared" si="12"/>
        <v>100</v>
      </c>
      <c r="X43" s="1351"/>
      <c r="Y43" s="3722"/>
      <c r="Z43" s="1352">
        <f t="shared" si="13"/>
        <v>111</v>
      </c>
      <c r="AA43" s="1349">
        <f t="shared" si="3"/>
        <v>1</v>
      </c>
      <c r="AB43" s="1349">
        <f t="shared" si="4"/>
        <v>1</v>
      </c>
      <c r="AC43" s="1349">
        <f t="shared" si="5"/>
        <v>1</v>
      </c>
    </row>
    <row r="44" spans="1:29" ht="15">
      <c r="A44" s="423"/>
      <c r="B44" s="1130">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22"/>
      <c r="Q44" s="1348">
        <f t="shared" si="14"/>
        <v>111</v>
      </c>
      <c r="R44" s="704" t="s">
        <v>14</v>
      </c>
      <c r="S44" s="705">
        <f t="shared" si="10"/>
        <v>100</v>
      </c>
      <c r="T44" s="704" t="s">
        <v>14</v>
      </c>
      <c r="U44" s="705">
        <f t="shared" si="11"/>
        <v>100</v>
      </c>
      <c r="V44" s="704" t="s">
        <v>14</v>
      </c>
      <c r="W44" s="705">
        <f t="shared" si="12"/>
        <v>100</v>
      </c>
      <c r="X44" s="1351"/>
      <c r="Y44" s="3722"/>
      <c r="Z44" s="1352">
        <f t="shared" si="13"/>
        <v>111</v>
      </c>
      <c r="AA44" s="1349">
        <f t="shared" si="3"/>
        <v>1</v>
      </c>
      <c r="AB44" s="1349">
        <f t="shared" si="4"/>
        <v>1</v>
      </c>
      <c r="AC44" s="1349">
        <f t="shared" si="5"/>
        <v>1</v>
      </c>
    </row>
    <row r="45" spans="1:29" s="422" customFormat="1" ht="15.75" thickBot="1">
      <c r="A45" s="419"/>
      <c r="B45" s="1130">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22"/>
      <c r="Q45" s="1348">
        <f t="shared" si="14"/>
        <v>111</v>
      </c>
      <c r="R45" s="707" t="s">
        <v>14</v>
      </c>
      <c r="S45" s="708">
        <f t="shared" si="10"/>
        <v>100</v>
      </c>
      <c r="T45" s="707" t="s">
        <v>14</v>
      </c>
      <c r="U45" s="708">
        <f t="shared" si="11"/>
        <v>100</v>
      </c>
      <c r="V45" s="707" t="s">
        <v>14</v>
      </c>
      <c r="W45" s="708">
        <f t="shared" si="12"/>
        <v>100</v>
      </c>
      <c r="X45" s="709"/>
      <c r="Y45" s="3722"/>
      <c r="Z45" s="710">
        <f t="shared" si="13"/>
        <v>111</v>
      </c>
      <c r="AA45" s="1349">
        <f t="shared" si="3"/>
        <v>1</v>
      </c>
      <c r="AB45" s="1349">
        <f t="shared" si="4"/>
        <v>1</v>
      </c>
      <c r="AC45" s="1349">
        <f t="shared" si="5"/>
        <v>1</v>
      </c>
    </row>
    <row r="46" spans="1:29" ht="15">
      <c r="A46" s="430" t="s">
        <v>1841</v>
      </c>
      <c r="B46" s="1978" t="s">
        <v>1876</v>
      </c>
      <c r="C46" s="629" t="s">
        <v>0</v>
      </c>
      <c r="D46" s="432"/>
      <c r="E46" s="433"/>
      <c r="F46" s="434"/>
      <c r="G46" s="435"/>
      <c r="H46" s="436"/>
      <c r="I46" s="433"/>
      <c r="J46" s="436"/>
      <c r="K46" s="713"/>
      <c r="L46" s="2720"/>
      <c r="M46" s="2721"/>
      <c r="N46" s="2712"/>
      <c r="O46" s="2721"/>
      <c r="P46" s="3710" t="str">
        <f>A46</f>
        <v>成交单价</v>
      </c>
      <c r="Q46" s="3710"/>
      <c r="R46" s="3724">
        <f>E46</f>
        <v>0</v>
      </c>
      <c r="S46" s="3724"/>
      <c r="T46" s="3724">
        <f>G46</f>
        <v>0</v>
      </c>
      <c r="U46" s="3724"/>
      <c r="V46" s="3724">
        <f>I46</f>
        <v>0</v>
      </c>
      <c r="W46" s="3724"/>
      <c r="X46" s="689"/>
      <c r="Y46" s="711"/>
      <c r="Z46" s="689"/>
      <c r="AA46" s="689"/>
      <c r="AB46" s="689"/>
      <c r="AC46" s="689"/>
    </row>
    <row r="47" spans="1:29" ht="15.75" thickBot="1">
      <c r="A47" s="437" t="s">
        <v>1790</v>
      </c>
      <c r="B47" s="630"/>
      <c r="C47" s="440" t="e">
        <f>R48</f>
        <v>#DIV/0!</v>
      </c>
      <c r="D47" s="2313" t="s">
        <v>2133</v>
      </c>
      <c r="E47" s="440" t="e">
        <f>R47</f>
        <v>#DIV/0!</v>
      </c>
      <c r="F47" s="2314"/>
      <c r="G47" s="439" t="e">
        <f>T47</f>
        <v>#DIV/0!</v>
      </c>
      <c r="H47" s="2314"/>
      <c r="I47" s="440" t="e">
        <f>V47</f>
        <v>#DIV/0!</v>
      </c>
      <c r="J47" s="2314"/>
      <c r="K47" s="2316">
        <f>F47+H47+J47</f>
        <v>0</v>
      </c>
      <c r="L47" s="2720"/>
      <c r="M47" s="2721"/>
      <c r="N47" s="2721"/>
      <c r="O47" s="2721"/>
      <c r="P47" s="3710" t="str">
        <f>A47</f>
        <v>比较价值（元/平方米）</v>
      </c>
      <c r="Q47" s="3710"/>
      <c r="R47" s="3792" t="e">
        <f>ROUND(PRODUCT(R46,AA7:AA45),0)</f>
        <v>#DIV/0!</v>
      </c>
      <c r="S47" s="3792"/>
      <c r="T47" s="3792" t="e">
        <f>ROUND(PRODUCT(T46,AB7:AB45),0)</f>
        <v>#DIV/0!</v>
      </c>
      <c r="U47" s="3792"/>
      <c r="V47" s="3792" t="e">
        <f>ROUND(PRODUCT(V46,AC7:AC45),0)</f>
        <v>#DIV/0!</v>
      </c>
      <c r="W47" s="3792"/>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0"/>
      <c r="M48" s="2721"/>
      <c r="N48" s="2721"/>
      <c r="O48" s="2721"/>
      <c r="P48" s="3712" t="str">
        <f>A48</f>
        <v>估价对象XX用房的比较价值（楼面单价，元/平方米）</v>
      </c>
      <c r="Q48" s="3713"/>
      <c r="R48" s="3793" t="e">
        <f>ROUND(IF(D47="简单平均",AVERAGE(R47:W47),R47*F47+T47*H47+V47*J47),0)</f>
        <v>#DIV/0!</v>
      </c>
      <c r="S48" s="3793"/>
      <c r="T48" s="3793"/>
      <c r="U48" s="3793"/>
      <c r="V48" s="3793"/>
      <c r="W48" s="3793"/>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1878</v>
      </c>
      <c r="B55" s="632" t="s">
        <v>1879</v>
      </c>
      <c r="C55" s="1979" t="s">
        <v>1880</v>
      </c>
      <c r="D55" s="1980" t="s">
        <v>1881</v>
      </c>
      <c r="E55" s="633" t="s">
        <v>1882</v>
      </c>
      <c r="F55" s="886" t="s">
        <v>1883</v>
      </c>
      <c r="G55" s="3729" t="s">
        <v>1884</v>
      </c>
      <c r="H55" s="3794"/>
      <c r="I55" s="135"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1887</v>
      </c>
      <c r="B56" s="636" t="e">
        <f>C48</f>
        <v>#DIV/0!</v>
      </c>
      <c r="C56" s="637">
        <v>1</v>
      </c>
      <c r="D56" s="940">
        <v>1</v>
      </c>
      <c r="E56" s="637">
        <f>'数据-汇总表'!E8+'数据-汇总表'!E9</f>
        <v>19982.989999999998</v>
      </c>
      <c r="F56" s="882" t="e">
        <f t="shared" ref="F56:F64" si="15">ROUND(B56*E56/10000,0)</f>
        <v>#DIV/0!</v>
      </c>
      <c r="G56" s="3725"/>
      <c r="H56" s="3710"/>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1888</v>
      </c>
      <c r="B57" s="218" t="e">
        <f>ROUND($C$48*C57*D57,0)</f>
        <v>#DIV/0!</v>
      </c>
      <c r="C57" s="171">
        <f t="shared" ref="C57:C64" si="16">IF($C$55="北京市系数",I57,J57)</f>
        <v>0</v>
      </c>
      <c r="D57" s="941">
        <v>0.25</v>
      </c>
      <c r="E57" s="641"/>
      <c r="F57" s="882" t="e">
        <f t="shared" si="15"/>
        <v>#DIV/0!</v>
      </c>
      <c r="G57" s="3002" t="s">
        <v>1889</v>
      </c>
      <c r="H57" s="883">
        <f>项目基本情况!B37</f>
        <v>0</v>
      </c>
      <c r="I57" s="887">
        <f>SUMIF(修正!A57:A68,H57,修正!B57:B68)</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1890</v>
      </c>
      <c r="B58" s="218" t="e">
        <f t="shared" ref="B58:B64" si="17">ROUND($C$48*C58*D58,0)</f>
        <v>#DIV/0!</v>
      </c>
      <c r="C58" s="171">
        <f t="shared" si="16"/>
        <v>0</v>
      </c>
      <c r="D58" s="941">
        <v>0.25</v>
      </c>
      <c r="E58" s="641"/>
      <c r="F58" s="882" t="e">
        <f t="shared" si="15"/>
        <v>#DIV/0!</v>
      </c>
      <c r="G58" s="3003"/>
      <c r="H58" s="883">
        <f>项目基本情况!B37</f>
        <v>0</v>
      </c>
      <c r="I58" s="887">
        <f>SUMIF(修正!A57:A68,H58,修正!C57:C68)</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1891</v>
      </c>
      <c r="B59" s="218" t="e">
        <f t="shared" si="17"/>
        <v>#DIV/0!</v>
      </c>
      <c r="C59" s="171">
        <f t="shared" si="16"/>
        <v>0</v>
      </c>
      <c r="D59" s="941">
        <v>0.25</v>
      </c>
      <c r="E59" s="641"/>
      <c r="F59" s="882" t="e">
        <f t="shared" si="15"/>
        <v>#DIV/0!</v>
      </c>
      <c r="G59" s="3003"/>
      <c r="H59" s="883">
        <f>项目基本情况!B37</f>
        <v>0</v>
      </c>
      <c r="I59" s="887">
        <f>SUMIF(修正!A57:A68,H59,修正!D57:D68)</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1892</v>
      </c>
      <c r="B60" s="218" t="e">
        <f t="shared" si="17"/>
        <v>#DIV/0!</v>
      </c>
      <c r="C60" s="171">
        <f t="shared" si="16"/>
        <v>0</v>
      </c>
      <c r="D60" s="941">
        <v>0.25</v>
      </c>
      <c r="E60" s="217">
        <f>'数据-汇总表'!E11</f>
        <v>0</v>
      </c>
      <c r="F60" s="882" t="e">
        <f t="shared" si="15"/>
        <v>#DIV/0!</v>
      </c>
      <c r="G60" s="1983" t="s">
        <v>1893</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1894</v>
      </c>
      <c r="B61" s="218" t="e">
        <f t="shared" si="17"/>
        <v>#DIV/0!</v>
      </c>
      <c r="C61" s="171">
        <f t="shared" si="16"/>
        <v>0</v>
      </c>
      <c r="D61" s="941">
        <v>0.25</v>
      </c>
      <c r="E61" s="217">
        <f>'数据-汇总表'!E12</f>
        <v>0</v>
      </c>
      <c r="F61" s="882" t="e">
        <f t="shared" si="15"/>
        <v>#DIV/0!</v>
      </c>
      <c r="G61" s="888" t="s">
        <v>1895</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1896</v>
      </c>
      <c r="B62" s="218" t="e">
        <f t="shared" si="17"/>
        <v>#DIV/0!</v>
      </c>
      <c r="C62" s="171">
        <f t="shared" si="16"/>
        <v>0</v>
      </c>
      <c r="D62" s="941">
        <v>0.25</v>
      </c>
      <c r="E62" s="217">
        <f>'数据-汇总表'!E13</f>
        <v>0</v>
      </c>
      <c r="F62" s="882" t="e">
        <f t="shared" si="15"/>
        <v>#DIV/0!</v>
      </c>
      <c r="G62" s="888" t="s">
        <v>1897</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1898</v>
      </c>
      <c r="B63" s="218" t="e">
        <f t="shared" si="17"/>
        <v>#DIV/0!</v>
      </c>
      <c r="C63" s="171">
        <f t="shared" si="16"/>
        <v>0</v>
      </c>
      <c r="D63" s="941">
        <v>0.25</v>
      </c>
      <c r="E63" s="217">
        <f>'数据-汇总表'!E14</f>
        <v>0</v>
      </c>
      <c r="F63" s="882" t="e">
        <f t="shared" si="15"/>
        <v>#DIV/0!</v>
      </c>
      <c r="G63" s="1983" t="s">
        <v>1889</v>
      </c>
      <c r="H63" s="883">
        <f>项目基本情况!B37</f>
        <v>0</v>
      </c>
      <c r="I63" s="887">
        <f>SUMIF(修正!A57:A68,H63,修正!G57:G68)</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1899</v>
      </c>
      <c r="B64" s="218" t="e">
        <f t="shared" si="17"/>
        <v>#DIV/0!</v>
      </c>
      <c r="C64" s="171">
        <f t="shared" si="16"/>
        <v>0</v>
      </c>
      <c r="D64" s="941">
        <v>0.25</v>
      </c>
      <c r="E64" s="217">
        <f>'数据-汇总表'!E15</f>
        <v>0</v>
      </c>
      <c r="F64" s="882" t="e">
        <f t="shared" si="15"/>
        <v>#DIV/0!</v>
      </c>
      <c r="G64" s="1984" t="s">
        <v>1893</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1900</v>
      </c>
      <c r="B65" s="643" t="s">
        <v>22</v>
      </c>
      <c r="C65" s="643" t="s">
        <v>23</v>
      </c>
      <c r="D65" s="643" t="s">
        <v>391</v>
      </c>
      <c r="E65" s="643">
        <f>IF(B46="楼面地价",SUM(E56:E64),'数据-汇总表'!D3)</f>
        <v>19982.989999999998</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1"/>
      <c r="Q67" s="2721"/>
      <c r="R67" s="2721"/>
      <c r="S67" s="2721"/>
      <c r="T67" s="2721"/>
      <c r="U67" s="2721"/>
      <c r="V67" s="2721"/>
      <c r="W67" s="2721"/>
      <c r="X67" s="2721"/>
      <c r="Y67" s="2721"/>
      <c r="Z67" s="2721"/>
      <c r="AA67" s="2721"/>
      <c r="AB67" s="2721"/>
      <c r="AC67" s="2721"/>
    </row>
    <row r="68" spans="1:29" ht="21.75" thickBot="1">
      <c r="A68" s="693" t="s">
        <v>1795</v>
      </c>
      <c r="B68" s="689"/>
      <c r="C68" s="694"/>
      <c r="D68" s="694"/>
      <c r="E68" s="694"/>
      <c r="F68" s="695"/>
      <c r="G68" s="695"/>
      <c r="H68" s="694"/>
      <c r="I68" s="694"/>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1901</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1713</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1678</v>
      </c>
      <c r="B72" s="459"/>
      <c r="C72" s="471" t="s">
        <v>1773</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1716</v>
      </c>
      <c r="B74" s="477" t="s">
        <v>1682</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1685</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1687</v>
      </c>
      <c r="B87" s="477" t="s">
        <v>1717</v>
      </c>
      <c r="C87" s="522" t="s">
        <v>1718</v>
      </c>
      <c r="D87" s="522" t="s">
        <v>1719</v>
      </c>
      <c r="E87" s="522" t="s">
        <v>1720</v>
      </c>
      <c r="F87" s="522" t="s">
        <v>1721</v>
      </c>
      <c r="G87" s="522" t="s">
        <v>1722</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1903</v>
      </c>
      <c r="C89" s="527" t="s">
        <v>1718</v>
      </c>
      <c r="D89" s="527" t="s">
        <v>1719</v>
      </c>
      <c r="E89" s="527" t="s">
        <v>1720</v>
      </c>
      <c r="F89" s="527" t="s">
        <v>1721</v>
      </c>
      <c r="G89" s="527" t="s">
        <v>1722</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1818</v>
      </c>
      <c r="C91" s="527" t="s">
        <v>1718</v>
      </c>
      <c r="D91" s="527" t="s">
        <v>1719</v>
      </c>
      <c r="E91" s="527" t="s">
        <v>1720</v>
      </c>
      <c r="F91" s="527" t="s">
        <v>1721</v>
      </c>
      <c r="G91" s="527" t="s">
        <v>1722</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1723</v>
      </c>
      <c r="C93" s="527" t="s">
        <v>1718</v>
      </c>
      <c r="D93" s="527" t="s">
        <v>1719</v>
      </c>
      <c r="E93" s="527" t="s">
        <v>1720</v>
      </c>
      <c r="F93" s="527" t="s">
        <v>1721</v>
      </c>
      <c r="G93" s="527" t="s">
        <v>1722</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1904</v>
      </c>
      <c r="C95" s="527" t="s">
        <v>1718</v>
      </c>
      <c r="D95" s="527" t="s">
        <v>1719</v>
      </c>
      <c r="E95" s="527" t="s">
        <v>1720</v>
      </c>
      <c r="F95" s="527" t="s">
        <v>1721</v>
      </c>
      <c r="G95" s="527" t="s">
        <v>1722</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1776</v>
      </c>
      <c r="C101" s="607" t="s">
        <v>1796</v>
      </c>
      <c r="D101" s="607" t="s">
        <v>1797</v>
      </c>
      <c r="E101" s="607" t="s">
        <v>1798</v>
      </c>
      <c r="F101" s="607" t="s">
        <v>1799</v>
      </c>
      <c r="G101" s="607" t="s">
        <v>1800</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1812</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1870</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1911</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1912</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1913</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1914</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topLeftCell="A13" zoomScale="70" zoomScaleNormal="70" zoomScaleSheetLayoutView="70" workbookViewId="0">
      <selection activeCell="K34" sqref="K34:K3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3331</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705" t="s">
        <v>693</v>
      </c>
      <c r="C6" s="1070" t="e">
        <f ca="1">ROUND(F6*F8*F7*(1-F9)/10000,0)</f>
        <v>#N/A</v>
      </c>
      <c r="D6" s="155" t="s">
        <v>2104</v>
      </c>
      <c r="E6" s="302" t="s">
        <v>695</v>
      </c>
      <c r="F6" s="303" t="e">
        <f ca="1">INDIRECT("'数据-取费表'!u"&amp;$G$1)</f>
        <v>#N/A</v>
      </c>
      <c r="G6" s="1380"/>
      <c r="H6" s="1065" t="s">
        <v>397</v>
      </c>
      <c r="I6" s="3705" t="s">
        <v>693</v>
      </c>
      <c r="J6" s="301" t="e">
        <f ca="1">ROUND(M6*M8*M7*(1-M9)/10000,0)</f>
        <v>#N/A</v>
      </c>
      <c r="K6" s="155" t="s">
        <v>2103</v>
      </c>
      <c r="L6" s="302" t="s">
        <v>695</v>
      </c>
      <c r="M6" s="303" t="e">
        <f ca="1">INDIRECT("'数据-取费表'!z"&amp;$G$1)</f>
        <v>#N/A</v>
      </c>
    </row>
    <row r="7" spans="1:37" ht="18" customHeight="1">
      <c r="A7" s="1069"/>
      <c r="B7" s="3706"/>
      <c r="C7" s="1071"/>
      <c r="D7" s="307"/>
      <c r="E7" s="3489" t="s">
        <v>696</v>
      </c>
      <c r="F7" s="303" t="e">
        <f ca="1">IF(INDIRECT("'数据-取费表'!ah"&amp;$G$1)="",INDIRECT("'数据-取费表'!k"&amp;$G$1),INDIRECT("'数据-取费表'!ah"&amp;$G$1))</f>
        <v>#N/A</v>
      </c>
      <c r="G7" s="1380"/>
      <c r="H7" s="304"/>
      <c r="I7" s="3706"/>
      <c r="J7" s="306"/>
      <c r="K7" s="307"/>
      <c r="L7" s="302" t="s">
        <v>696</v>
      </c>
      <c r="M7" s="303" t="e">
        <f ca="1">F7</f>
        <v>#N/A</v>
      </c>
    </row>
    <row r="8" spans="1:37" ht="18" customHeight="1">
      <c r="A8" s="304"/>
      <c r="B8" s="3706"/>
      <c r="C8" s="306"/>
      <c r="D8" s="307"/>
      <c r="E8" s="302" t="s">
        <v>697</v>
      </c>
      <c r="F8" s="303" t="e">
        <f ca="1">INDIRECT("'数据-取费表'!ai"&amp;$G$1)</f>
        <v>#N/A</v>
      </c>
      <c r="G8" s="1380"/>
      <c r="H8" s="304"/>
      <c r="I8" s="3706"/>
      <c r="J8" s="306"/>
      <c r="K8" s="307"/>
      <c r="L8" s="302" t="s">
        <v>697</v>
      </c>
      <c r="M8" s="303" t="e">
        <f ca="1">INDIRECT("'数据-取费表'!ai"&amp;$G$1)</f>
        <v>#N/A</v>
      </c>
    </row>
    <row r="9" spans="1:37" ht="18" customHeight="1">
      <c r="A9" s="304"/>
      <c r="B9" s="3707"/>
      <c r="C9" s="306"/>
      <c r="D9" s="307"/>
      <c r="E9" s="302" t="s">
        <v>698</v>
      </c>
      <c r="F9" s="312" t="e">
        <f ca="1">INDIRECT("'数据-取费表'!w"&amp;$G$1)</f>
        <v>#N/A</v>
      </c>
      <c r="G9" s="1380"/>
      <c r="H9" s="304"/>
      <c r="I9" s="3707"/>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3486" t="s">
        <v>704</v>
      </c>
      <c r="E13" s="3486"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3496" t="s">
        <v>707</v>
      </c>
      <c r="E14" s="3495"/>
      <c r="F14" s="319"/>
      <c r="G14" s="1380"/>
      <c r="H14" s="978" t="s">
        <v>397</v>
      </c>
      <c r="I14" s="302" t="s">
        <v>708</v>
      </c>
      <c r="J14" s="21" t="e">
        <f ca="1">C29</f>
        <v>#N/A</v>
      </c>
      <c r="K14" s="3488"/>
      <c r="L14" s="803"/>
      <c r="M14" s="804"/>
    </row>
    <row r="15" spans="1:37" s="1393" customFormat="1" ht="18" customHeight="1" thickBot="1">
      <c r="A15" s="978" t="s">
        <v>398</v>
      </c>
      <c r="B15" s="302" t="s">
        <v>709</v>
      </c>
      <c r="C15" s="21" t="e">
        <f ca="1">ROUND(C14*F15,0)</f>
        <v>#N/A</v>
      </c>
      <c r="D15" s="3487" t="s">
        <v>710</v>
      </c>
      <c r="E15" s="3487" t="s">
        <v>711</v>
      </c>
      <c r="F15" s="321">
        <f>'数据-取费表'!B33</f>
        <v>0.03</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3498"/>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3497" t="s">
        <v>723</v>
      </c>
      <c r="L18" s="302" t="s">
        <v>711</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3507"/>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2424" t="s">
        <v>728</v>
      </c>
      <c r="E20" s="302" t="s">
        <v>711</v>
      </c>
      <c r="F20" s="322">
        <f>'数据-取费表'!B37</f>
        <v>0.02</v>
      </c>
      <c r="G20" s="1392"/>
      <c r="H20" s="978" t="s">
        <v>679</v>
      </c>
      <c r="I20" s="155" t="s">
        <v>729</v>
      </c>
      <c r="J20" s="22" t="e">
        <f ca="1">ROUND(M20*M21/10000,2)</f>
        <v>#N/A</v>
      </c>
      <c r="K20" s="324" t="s">
        <v>730</v>
      </c>
      <c r="L20" s="302" t="s">
        <v>731</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t="e">
        <f ca="1">ROUND(J14*M22,2)</f>
        <v>#N/A</v>
      </c>
      <c r="K22" s="3497"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1.5</v>
      </c>
      <c r="G23" s="1392"/>
      <c r="H23" s="978" t="s">
        <v>436</v>
      </c>
      <c r="I23" s="302" t="s">
        <v>741</v>
      </c>
      <c r="J23" s="21" t="e">
        <f ca="1">ROUND(J13*M23,2)</f>
        <v>#N/A</v>
      </c>
      <c r="K23" s="3497"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5.0000000000000001E-4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t="e">
        <f ca="1">J5-J16</f>
        <v>#N/A</v>
      </c>
      <c r="K25" s="1091" t="s">
        <v>752</v>
      </c>
      <c r="L25" s="1092"/>
      <c r="M25" s="1093"/>
    </row>
    <row r="26" spans="1:37">
      <c r="A26" s="978" t="s">
        <v>396</v>
      </c>
      <c r="B26" s="302" t="s">
        <v>753</v>
      </c>
      <c r="C26" s="21" t="e">
        <f ca="1">ROUND((C19+C20)*F26,0)</f>
        <v>#N/A</v>
      </c>
      <c r="D26" s="2424"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2424" t="s">
        <v>760</v>
      </c>
      <c r="E27" s="3487"/>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5.2400000000000002E-2</v>
      </c>
      <c r="D28" s="2424" t="s">
        <v>764</v>
      </c>
      <c r="E28" s="302" t="s">
        <v>711</v>
      </c>
      <c r="F28" s="322">
        <f>'数据-取费表'!B41</f>
        <v>5.5000000000000007E-2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3498"/>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3497" t="s">
        <v>723</v>
      </c>
      <c r="E32" s="302" t="s">
        <v>711</v>
      </c>
      <c r="F32" s="331">
        <f>'数据-取费表'!B41</f>
        <v>5.5000000000000007E-2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1.5</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3497"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3497"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772</v>
      </c>
      <c r="E39" s="1092"/>
      <c r="F39" s="1093"/>
      <c r="G39" s="1380"/>
      <c r="H39" s="2696"/>
      <c r="I39" s="1394" t="e">
        <f ca="1">C39/C6</f>
        <v>#N/A</v>
      </c>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3506"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2105</v>
      </c>
      <c r="E49" s="1368" t="s">
        <v>779</v>
      </c>
      <c r="F49" s="1056"/>
      <c r="G49" s="1421"/>
      <c r="H49" s="722"/>
      <c r="I49" s="1417" t="s">
        <v>822</v>
      </c>
      <c r="J49" s="1422">
        <f>'数据-取费表'!N17</f>
        <v>1995</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31</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8" t="s">
        <v>836</v>
      </c>
      <c r="L53" s="3709"/>
      <c r="O53" s="1414" t="s">
        <v>408</v>
      </c>
      <c r="P53" s="1415" t="s">
        <v>837</v>
      </c>
      <c r="Q53" s="1416" t="e">
        <f ca="1">Q47+Q48</f>
        <v>#N/A</v>
      </c>
      <c r="R53" s="1416" t="s">
        <v>409</v>
      </c>
    </row>
    <row r="54" spans="1:18" s="1380" customFormat="1" ht="13.5" thickBot="1">
      <c r="A54" s="1149"/>
      <c r="B54" s="1363" t="s">
        <v>678</v>
      </c>
      <c r="C54" s="955"/>
      <c r="D54" s="1362"/>
      <c r="E54" s="3490"/>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5.5000000000000007E-2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781</v>
      </c>
      <c r="C61" s="21" t="e">
        <f ca="1">IF(项目基本情况!B11="自然人","——",IF(D61="按租金收入计税",ROUND(C49*F61/(1+'数据-取费表'!C42),2),IF(D61="按房产原值计税",ROUND(C57*F61*0.7,2),INDIRECT("'数据-取费表'!Aj"&amp;$G$1))))</f>
        <v>#N/A</v>
      </c>
      <c r="D61" s="1366" t="s">
        <v>3333</v>
      </c>
      <c r="E61" s="946" t="s">
        <v>782</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784</v>
      </c>
      <c r="C62" s="22" t="e">
        <f ca="1">IF(项目基本情况!B11="自然人","——",ROUND(F62*F63/10000,2))</f>
        <v>#N/A</v>
      </c>
      <c r="D62" s="961" t="s">
        <v>785</v>
      </c>
      <c r="E62" s="946" t="s">
        <v>786</v>
      </c>
      <c r="F62" s="325">
        <f t="shared" si="0"/>
        <v>1.5</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t="e">
        <f ca="1">ROUND(C57*F64,2)</f>
        <v>#N/A</v>
      </c>
      <c r="D64" s="960" t="s">
        <v>790</v>
      </c>
      <c r="E64" s="946" t="s">
        <v>782</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K34" sqref="K34:K35"/>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2076</v>
      </c>
      <c r="B1" s="2143"/>
      <c r="C1" s="2143"/>
      <c r="D1" s="2143"/>
      <c r="E1" s="2143"/>
      <c r="F1" s="2789"/>
      <c r="G1" s="2789"/>
      <c r="H1" s="2789"/>
      <c r="I1" s="2789"/>
      <c r="J1" s="2789"/>
      <c r="K1" s="2789"/>
      <c r="L1" s="2789"/>
      <c r="M1" s="2789"/>
      <c r="N1" s="2789"/>
      <c r="O1" s="2789"/>
      <c r="P1" s="2789"/>
    </row>
    <row r="2" spans="1:16" ht="15.75">
      <c r="A2" s="2141" t="s">
        <v>2069</v>
      </c>
      <c r="B2" s="2598" t="e">
        <f ca="1">SUMIF(B6:B13,"&lt;&gt;#ref!",B6:B13)</f>
        <v>#DIV/0!</v>
      </c>
      <c r="C2" s="2141" t="s">
        <v>2070</v>
      </c>
      <c r="D2" s="2141" t="s">
        <v>2071</v>
      </c>
      <c r="E2" s="2608">
        <f ca="1">SUMIF(E6:E13,"&lt;&gt;#ref!",E6:E13)</f>
        <v>0</v>
      </c>
      <c r="F2" s="2789"/>
      <c r="G2" s="2789"/>
      <c r="H2" s="2789"/>
      <c r="I2" s="2789"/>
      <c r="J2" s="2789"/>
      <c r="K2" s="2789"/>
      <c r="L2" s="2789"/>
      <c r="M2" s="2789"/>
      <c r="N2" s="2789"/>
      <c r="O2" s="2789"/>
      <c r="P2" s="2789"/>
    </row>
    <row r="3" spans="1:16" ht="15.75">
      <c r="A3" s="2141" t="s">
        <v>2072</v>
      </c>
      <c r="B3" s="2598" t="e">
        <f ca="1">ROUND(B2*10000/E2,0)</f>
        <v>#DIV/0!</v>
      </c>
      <c r="C3" s="2141"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3464</v>
      </c>
      <c r="B6" s="2598" t="e">
        <f ca="1">SUMIF(INDIRECT("'"&amp;A6&amp;"'"&amp;"!A:A"),"总价",INDIRECT("'"&amp;A6&amp;"'"&amp;"!B:B"))</f>
        <v>#REF!</v>
      </c>
      <c r="C6" s="2141" t="s">
        <v>2070</v>
      </c>
      <c r="D6" s="2789"/>
      <c r="E6" s="2608" t="e">
        <f ca="1">SUMIF(INDIRECT("'"&amp;A6&amp;"'"&amp;"!C:C"),"建筑面积",INDIRECT("'"&amp;A6&amp;"'"&amp;"!D:D"))</f>
        <v>#REF!</v>
      </c>
      <c r="F6" s="2789"/>
      <c r="G6" s="2789"/>
      <c r="H6" s="2789"/>
      <c r="I6" s="2789"/>
      <c r="J6" s="2789"/>
      <c r="K6" s="2789"/>
      <c r="L6" s="2789"/>
      <c r="M6" s="2789"/>
      <c r="N6" s="2789"/>
      <c r="O6" s="2789"/>
      <c r="P6" s="2789"/>
    </row>
    <row r="7" spans="1:16" ht="15.75">
      <c r="A7" s="2605" t="s">
        <v>3463</v>
      </c>
      <c r="B7" s="2598" t="e">
        <f ca="1">SUMIF(INDIRECT("'"&amp;A7&amp;"'"&amp;"!A:A"),"总价",INDIRECT("'"&amp;A7&amp;"'"&amp;"!B:B"))</f>
        <v>#DIV/0!</v>
      </c>
      <c r="C7" s="2141" t="s">
        <v>2070</v>
      </c>
      <c r="D7" s="2789"/>
      <c r="E7" s="2608">
        <f t="shared" ref="E7:E13" ca="1" si="0">SUMIF(INDIRECT("'"&amp;A7&amp;"'"&amp;"!C:C"),"建筑面积",INDIRECT("'"&amp;A7&amp;"'"&amp;"!D:D"))</f>
        <v>0</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90" sqref="F90"/>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73586.240000000005</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6895</v>
      </c>
      <c r="C2" s="1995" t="s">
        <v>1931</v>
      </c>
      <c r="D2" s="1996" t="s">
        <v>1932</v>
      </c>
      <c r="E2" s="3418" t="s">
        <v>3</v>
      </c>
      <c r="F2" s="1996" t="s">
        <v>1933</v>
      </c>
      <c r="G2" s="1997" t="str">
        <f>IF(E2="商业",项目基本情况!B37,IF(E2="办公",项目基本情况!C37,IF(E2="住宅",项目基本情况!D37,IF(E2="工业",项目基本情况!E37,项目基本情况!F37))))</f>
        <v>九级</v>
      </c>
      <c r="H2" s="1996" t="s">
        <v>1934</v>
      </c>
      <c r="I2" s="1997" t="str">
        <f>IF(E2="商业",项目基本情况!B38,IF(E2="办公",项目基本情况!C38,IF(E2="住宅",项目基本情况!D38,IF(E2="工业",项目基本情况!E38,项目基本情况!F38))))</f>
        <v>Ⅸ-昌4</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1.5418000000000001</v>
      </c>
      <c r="T2" s="3357">
        <f t="shared" ref="T2:T16" si="0">ROUND($C$5*$C$22*$C$23*$C$24*S2*$C$28,0)</f>
        <v>1444</v>
      </c>
      <c r="U2" s="1209">
        <f>'数据-汇总表'!F19</f>
        <v>19982.989999999998</v>
      </c>
      <c r="V2" s="3357">
        <f>ROUND(T2*U2/10000,0)</f>
        <v>2886</v>
      </c>
      <c r="W2" s="1212"/>
      <c r="X2" s="1212"/>
      <c r="Y2" s="1212"/>
      <c r="Z2" s="1212"/>
      <c r="AA2" s="1212"/>
      <c r="AB2" s="1212"/>
      <c r="AC2" s="1213"/>
      <c r="AD2" s="1214"/>
      <c r="AE2" s="1214"/>
      <c r="AF2" s="1214"/>
      <c r="AG2" s="1214"/>
      <c r="AH2" s="1214"/>
      <c r="AI2" s="1214"/>
      <c r="AJ2" s="1215"/>
    </row>
    <row r="3" spans="1:36" ht="15.75">
      <c r="A3" s="203" t="s">
        <v>1936</v>
      </c>
      <c r="B3" s="204">
        <f>ROUND(B2*10000/D1,0)</f>
        <v>937</v>
      </c>
      <c r="C3" s="1995" t="s">
        <v>1937</v>
      </c>
      <c r="D3" s="1996" t="s">
        <v>1938</v>
      </c>
      <c r="E3" s="3416" t="s">
        <v>2478</v>
      </c>
      <c r="F3" s="2000" t="s">
        <v>3451</v>
      </c>
      <c r="G3" s="748">
        <f>IF(F3="宗地容积率",'数据-汇总表'!I4,IF(F3="估价对象容积率",'数据-汇总表'!I6,'数据-汇总表'!I7))</f>
        <v>1</v>
      </c>
      <c r="H3" s="170" t="s">
        <v>1939</v>
      </c>
      <c r="I3" s="771">
        <v>1</v>
      </c>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1.1883999999999999</v>
      </c>
      <c r="T3" s="3357">
        <f t="shared" si="0"/>
        <v>1113</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2"/>
      <c r="B4" s="3803"/>
      <c r="C4" s="3803"/>
      <c r="D4" s="3804"/>
      <c r="E4" s="3804"/>
      <c r="F4" s="3804"/>
      <c r="G4" s="3804"/>
      <c r="H4" s="3804"/>
      <c r="I4" s="3804"/>
      <c r="J4" s="3805"/>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0.96940000000000004</v>
      </c>
      <c r="T4" s="3357">
        <f t="shared" si="0"/>
        <v>908</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990</v>
      </c>
      <c r="D5" s="1335">
        <f>ROUND(C6*C17+C20,0)</f>
        <v>990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0.82299999999999995</v>
      </c>
      <c r="T5" s="3357">
        <f t="shared" si="0"/>
        <v>771</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990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0.74980000000000002</v>
      </c>
      <c r="T6" s="3357">
        <f t="shared" si="0"/>
        <v>702</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九级</v>
      </c>
      <c r="Y7" s="1210" t="s">
        <v>1952</v>
      </c>
      <c r="Z7" s="1211">
        <f>G3</f>
        <v>1</v>
      </c>
      <c r="AA7" s="1212"/>
      <c r="AB7" s="1212"/>
      <c r="AC7" s="1213"/>
      <c r="AD7" s="1214"/>
      <c r="AE7" s="1214"/>
      <c r="AF7" s="1214"/>
      <c r="AG7" s="1214"/>
      <c r="AH7" s="1214"/>
      <c r="AI7" s="1214"/>
      <c r="AJ7" s="1215"/>
    </row>
    <row r="8" spans="1:36" ht="25.5">
      <c r="A8" s="3295"/>
      <c r="B8" s="170" t="s">
        <v>1953</v>
      </c>
      <c r="C8" s="2022" t="s">
        <v>3436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99" t="s">
        <v>1956</v>
      </c>
      <c r="X8" s="3800"/>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t="e">
        <f>ROUND(C11/E7,4)</f>
        <v>#DIV/0!</v>
      </c>
      <c r="F9" s="2023" t="s">
        <v>1970</v>
      </c>
      <c r="G9" s="2024"/>
      <c r="H9" s="2024"/>
      <c r="I9" s="2024"/>
      <c r="J9" s="2025"/>
      <c r="K9" s="1115"/>
      <c r="L9" s="1999" t="s">
        <v>1971</v>
      </c>
      <c r="M9" s="860">
        <f>SUMPRODUCT((区片价!B277:B326=I2)*(区片价!C3:G3=E2)*(区片价!C277:G326))</f>
        <v>990</v>
      </c>
      <c r="N9" s="862">
        <f>SUMPRODUCT((因素修正幅度!B277:B326=I2)*(因素修正幅度!C3:G3=E2)*(因素修正幅度!C277:G326))</f>
        <v>0.14499999999999999</v>
      </c>
      <c r="O9" s="1115"/>
      <c r="P9" s="1115"/>
      <c r="Q9" s="1115"/>
      <c r="R9" s="1208">
        <v>8</v>
      </c>
      <c r="S9" s="1209"/>
      <c r="T9" s="3357">
        <f t="shared" si="0"/>
        <v>0</v>
      </c>
      <c r="U9" s="1209"/>
      <c r="V9" s="3357">
        <f t="shared" si="1"/>
        <v>0</v>
      </c>
      <c r="W9" s="3801"/>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6" t="s">
        <v>3253</v>
      </c>
      <c r="B20" s="167" t="s">
        <v>1990</v>
      </c>
      <c r="C20" s="3321">
        <f>ROUND(IF(F21="与级别开发程度一致",0,(G21-E21)/C21),0)</f>
        <v>0</v>
      </c>
      <c r="D20" s="3337" t="s">
        <v>1994</v>
      </c>
      <c r="E20" s="3338"/>
      <c r="F20" s="3812" t="s">
        <v>1991</v>
      </c>
      <c r="G20" s="3813"/>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7"/>
      <c r="B21" s="2160" t="s">
        <v>1993</v>
      </c>
      <c r="C21" s="2161">
        <f>IF(E3="M4科研用地",SUMPRODUCT((修正!A2:A7=E3)*(修正!B1:M1=G2)*(修正!B2:M7)),SUMPRODUCT((修正!A2:A7=E2)*(修正!B1:M1=G2)*(修正!B2:M7)))</f>
        <v>1</v>
      </c>
      <c r="D21" s="187" t="str">
        <f>IF(OR(G2="八级",G2="九级",G2="十级",G2="十一级",G2="十二级"),"五通一平","七通一平")</f>
        <v>五通一平</v>
      </c>
      <c r="E21" s="2151">
        <f>SUMPRODUCT((修正!B1:M1=G2)*(修正!B17:M17))</f>
        <v>185</v>
      </c>
      <c r="F21" s="2152" t="s">
        <v>3452</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0" t="s">
        <v>1998</v>
      </c>
      <c r="E23" s="757">
        <v>44197</v>
      </c>
      <c r="F23" s="2050" t="s">
        <v>1999</v>
      </c>
      <c r="G23" s="758">
        <f>'数据-取费表'!B2</f>
        <v>45467</v>
      </c>
      <c r="H23" s="3339" t="s">
        <v>3254</v>
      </c>
      <c r="I23" s="3340" t="str">
        <f>IF(H23="季度增幅（自定义）",SUMIF(N25:N28,E2,O25:O28),"")</f>
        <v/>
      </c>
      <c r="J23" s="3441" t="s">
        <v>3456</v>
      </c>
      <c r="K23" s="1121"/>
      <c r="L23" s="2051" t="s">
        <v>2000</v>
      </c>
      <c r="M23" s="1324">
        <f>ROUND(SUMIF(地价!B2:G2,E2,地价!B16:G16),0)</f>
        <v>318</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0.85870000000000002</v>
      </c>
      <c r="D24" s="2056" t="s">
        <v>2003</v>
      </c>
      <c r="E24" s="1331">
        <f>存贷款利率!E24/100</f>
        <v>4.3499999999999997E-2</v>
      </c>
      <c r="F24" s="2056" t="s">
        <v>1995</v>
      </c>
      <c r="G24" s="764">
        <f>SUMIF(M30:Q30,E2,M33:Q33)</f>
        <v>0.05</v>
      </c>
      <c r="H24" s="2056" t="s">
        <v>2004</v>
      </c>
      <c r="I24" s="765">
        <f>SUMIF('数据-取费表'!C6:C15,E2,'数据-取费表'!F6:F15)/COUNTIF('数据-取费表'!C6:C15,E2)</f>
        <v>31.39</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76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1348">
        <f>IF(E26=G26,F26,IF(G3&lt;10,ROUND(F26+(H26-F26)*(G3-E26)/(G26-E26),4),"——"))</f>
        <v>1</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1.5418000000000001</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1.026</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6895</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937</v>
      </c>
      <c r="D33" s="2094">
        <f>'数据-汇总表'!D19</f>
        <v>73586.240000000005</v>
      </c>
      <c r="E33" s="769">
        <f>ROUND(C33*D33/10000,0)</f>
        <v>6895</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141</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0"/>
      <c r="B37" s="2109" t="s">
        <v>2032</v>
      </c>
      <c r="C37" s="175">
        <f>ROUND(D5*C22*C23*C24*C28*F37,0)</f>
        <v>468</v>
      </c>
      <c r="D37" s="2094"/>
      <c r="E37" s="171">
        <f>ROUND(C37*D37/10000,0)</f>
        <v>0</v>
      </c>
      <c r="F37" s="171">
        <f>SUMIF(修正!A57:A68,G2,修正!B57:B68)</f>
        <v>0.5</v>
      </c>
      <c r="G37" s="171">
        <f>ROUND(IF(E2="工业",C37*$M$42,C37*$M$41),0)</f>
        <v>70</v>
      </c>
      <c r="H37" s="171">
        <f>D37</f>
        <v>0</v>
      </c>
      <c r="I37" s="171">
        <f>ROUND(G37*H37/10000,0)</f>
        <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1"/>
      <c r="B38" s="2037" t="s">
        <v>2033</v>
      </c>
      <c r="C38" s="175">
        <f>ROUND(D5*C22*C23*C24*C28*F38,0)</f>
        <v>187</v>
      </c>
      <c r="D38" s="2094"/>
      <c r="E38" s="171">
        <f t="shared" ref="E38:E42" si="4">ROUND(C38*D38/10000,0)</f>
        <v>0</v>
      </c>
      <c r="F38" s="171">
        <f>SUMIF(修正!A57:A68,G2,修正!C57:C68)</f>
        <v>0.2</v>
      </c>
      <c r="G38" s="171">
        <f>ROUND(IF(E2="工业",C38*$M$42,C38*$M$41),0)</f>
        <v>28</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1"/>
      <c r="B39" s="2037" t="s">
        <v>3257</v>
      </c>
      <c r="C39" s="175">
        <f>ROUND(D5*C22*C23*C24*C28*F39,0)</f>
        <v>187</v>
      </c>
      <c r="D39" s="2094"/>
      <c r="E39" s="171">
        <f t="shared" si="4"/>
        <v>0</v>
      </c>
      <c r="F39" s="171">
        <f>SUMIF(修正!A57:A68,G2,修正!D57:D68)</f>
        <v>0.2</v>
      </c>
      <c r="G39" s="171">
        <f>ROUND(IF(E2="工业",C39*$M$42,C39*$M$41),0)</f>
        <v>28</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187</v>
      </c>
      <c r="D40" s="2094"/>
      <c r="E40" s="171">
        <f t="shared" si="4"/>
        <v>0</v>
      </c>
      <c r="F40" s="175">
        <f>SUMIF(修正!A57:A68,G2,修正!E57:E68)</f>
        <v>0.2</v>
      </c>
      <c r="G40" s="171">
        <f>ROUND(IF(E2="工业",C40*$M$42,C40*$M$41),0)</f>
        <v>28</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187</v>
      </c>
      <c r="D41" s="2094"/>
      <c r="E41" s="171">
        <f t="shared" si="4"/>
        <v>0</v>
      </c>
      <c r="F41" s="175">
        <f>SUMIF(修正!A57:A68,G2,修正!F57:F68)</f>
        <v>0.2</v>
      </c>
      <c r="G41" s="171">
        <f>ROUND(IF(E2="工业",C41*$M$42,C41*$M$41),0)</f>
        <v>28</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94</v>
      </c>
      <c r="D42" s="2099"/>
      <c r="E42" s="187">
        <f t="shared" si="4"/>
        <v>0</v>
      </c>
      <c r="F42" s="763">
        <f>SUMIF(修正!A57:A68,G2,修正!G57:G68)</f>
        <v>0.1</v>
      </c>
      <c r="G42" s="187">
        <f>ROUND(IF(E2="工业",C42*$M$42,C42*$M$41),0)</f>
        <v>14</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0.85870000000000002</v>
      </c>
      <c r="D44" s="171" t="s">
        <v>1995</v>
      </c>
      <c r="E44" s="2149">
        <f>G24</f>
        <v>0.05</v>
      </c>
      <c r="F44" s="171" t="s">
        <v>2004</v>
      </c>
      <c r="G44" s="183">
        <f>项目基本情况!H15</f>
        <v>31.39</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t="e">
        <f>1+E50</f>
        <v>#VALUE!</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63">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t="e">
        <f t="shared" si="7"/>
        <v>#VALUE!</v>
      </c>
      <c r="E51" s="741"/>
      <c r="F51" s="1810"/>
      <c r="G51" s="1059" t="str">
        <f t="shared" si="8"/>
        <v>——</v>
      </c>
      <c r="H51" s="1062" t="str">
        <f t="shared" si="9"/>
        <v>——</v>
      </c>
      <c r="I51" s="3363">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t="e">
        <f t="shared" si="7"/>
        <v>#VALUE!</v>
      </c>
      <c r="E52" s="741"/>
      <c r="F52" s="1810"/>
      <c r="G52" s="1059" t="str">
        <f t="shared" si="8"/>
        <v>——</v>
      </c>
      <c r="H52" s="1062" t="str">
        <f t="shared" si="9"/>
        <v>——</v>
      </c>
      <c r="I52" s="3363">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t="e">
        <f t="shared" si="7"/>
        <v>#VALUE!</v>
      </c>
      <c r="E53" s="741"/>
      <c r="F53" s="1810"/>
      <c r="G53" s="1059" t="str">
        <f t="shared" si="8"/>
        <v>——</v>
      </c>
      <c r="H53" s="1062" t="str">
        <f t="shared" si="9"/>
        <v>——</v>
      </c>
      <c r="I53" s="3363">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t="e">
        <f t="shared" si="7"/>
        <v>#VALUE!</v>
      </c>
      <c r="E54" s="741"/>
      <c r="F54" s="1810"/>
      <c r="G54" s="1059" t="str">
        <f t="shared" si="8"/>
        <v>——</v>
      </c>
      <c r="H54" s="1062" t="str">
        <f t="shared" si="9"/>
        <v>——</v>
      </c>
      <c r="I54" s="3363">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t="e">
        <f t="shared" si="7"/>
        <v>#VALUE!</v>
      </c>
      <c r="E55" s="741"/>
      <c r="F55" s="1810"/>
      <c r="G55" s="1059" t="str">
        <f t="shared" si="8"/>
        <v>——</v>
      </c>
      <c r="H55" s="1062" t="str">
        <f t="shared" si="9"/>
        <v>——</v>
      </c>
      <c r="I55" s="3363">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t="e">
        <f t="shared" si="7"/>
        <v>#VALUE!</v>
      </c>
      <c r="E56" s="741"/>
      <c r="F56" s="1810"/>
      <c r="G56" s="1059" t="str">
        <f t="shared" si="8"/>
        <v>——</v>
      </c>
      <c r="H56" s="1062" t="str">
        <f t="shared" si="9"/>
        <v>——</v>
      </c>
      <c r="I56" s="3363">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t="e">
        <f t="shared" si="7"/>
        <v>#VALUE!</v>
      </c>
      <c r="E57" s="741"/>
      <c r="F57" s="1810"/>
      <c r="G57" s="1059" t="str">
        <f t="shared" si="8"/>
        <v>——</v>
      </c>
      <c r="H57" s="1062" t="str">
        <f t="shared" si="9"/>
        <v>——</v>
      </c>
      <c r="I57" s="3363">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t="e">
        <f t="shared" si="7"/>
        <v>#VALUE!</v>
      </c>
      <c r="E58" s="742"/>
      <c r="F58" s="1810"/>
      <c r="G58" s="1059" t="str">
        <f t="shared" si="8"/>
        <v>——</v>
      </c>
      <c r="H58" s="1062" t="str">
        <f t="shared" si="9"/>
        <v>——</v>
      </c>
      <c r="I58" s="3364">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5">
      <c r="A59" s="2122" t="s">
        <v>2058</v>
      </c>
      <c r="B59" s="2123" t="e">
        <f>1+E61</f>
        <v>#VALUE!</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3400</v>
      </c>
      <c r="D61" s="1061">
        <f t="shared" ref="D61:D69" si="13">SUMIF($J$60:$N$60,C61,J61:N61)</f>
        <v>0</v>
      </c>
      <c r="E61" s="740" t="e">
        <f>ROUND(SUM(D61:D69),4)</f>
        <v>#VALUE!</v>
      </c>
      <c r="F61" s="1810" t="str">
        <f>IF(E2="办公",SUMIF(L1:L12,G2,N1:N12),"——")</f>
        <v>——</v>
      </c>
      <c r="G61" s="1059" t="str">
        <f>H61</f>
        <v>——</v>
      </c>
      <c r="H61" s="1062" t="str">
        <f t="shared" ref="H61:H69" si="14">IFERROR(ROUNDDOWN($F$61*I61/2,4),"——")</f>
        <v>——</v>
      </c>
      <c r="I61" s="3363">
        <v>0.25</v>
      </c>
      <c r="J61" s="1060" t="e">
        <f t="shared" ref="J61:J69" si="15">K61+$G61</f>
        <v>#VALUE!</v>
      </c>
      <c r="K61" s="1060" t="e">
        <f t="shared" ref="K61:K69" si="16">$L61+$G61</f>
        <v>#VALUE!</v>
      </c>
      <c r="L61" s="1060">
        <v>0</v>
      </c>
      <c r="M61" s="1060" t="e">
        <f t="shared" ref="M61:N69" si="17">L61-$G61</f>
        <v>#VALUE!</v>
      </c>
      <c r="N61" s="1060" t="e">
        <f t="shared" si="17"/>
        <v>#VALUE!</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t="e">
        <f t="shared" si="13"/>
        <v>#VALUE!</v>
      </c>
      <c r="E62" s="741"/>
      <c r="F62" s="1810"/>
      <c r="G62" s="1059" t="str">
        <f t="shared" ref="G62:G69" si="18">H62</f>
        <v>——</v>
      </c>
      <c r="H62" s="1062" t="str">
        <f t="shared" si="14"/>
        <v>——</v>
      </c>
      <c r="I62" s="3363">
        <v>0.26</v>
      </c>
      <c r="J62" s="1060" t="e">
        <f t="shared" si="15"/>
        <v>#VALUE!</v>
      </c>
      <c r="K62" s="1060" t="e">
        <f t="shared" si="16"/>
        <v>#VALUE!</v>
      </c>
      <c r="L62" s="1060">
        <v>0</v>
      </c>
      <c r="M62" s="1060" t="e">
        <f t="shared" si="17"/>
        <v>#VALUE!</v>
      </c>
      <c r="N62" s="1060" t="e">
        <f t="shared" si="17"/>
        <v>#VALUE!</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t="e">
        <f t="shared" si="13"/>
        <v>#VALUE!</v>
      </c>
      <c r="E63" s="741"/>
      <c r="F63" s="1810"/>
      <c r="G63" s="1059" t="str">
        <f t="shared" si="18"/>
        <v>——</v>
      </c>
      <c r="H63" s="1062" t="str">
        <f t="shared" si="14"/>
        <v>——</v>
      </c>
      <c r="I63" s="3363">
        <v>0.11</v>
      </c>
      <c r="J63" s="1060" t="e">
        <f t="shared" si="15"/>
        <v>#VALUE!</v>
      </c>
      <c r="K63" s="1060" t="e">
        <f t="shared" si="16"/>
        <v>#VALUE!</v>
      </c>
      <c r="L63" s="1060">
        <v>0</v>
      </c>
      <c r="M63" s="1060" t="e">
        <f t="shared" si="17"/>
        <v>#VALUE!</v>
      </c>
      <c r="N63" s="1060" t="e">
        <f t="shared" si="17"/>
        <v>#VALUE!</v>
      </c>
      <c r="AA63" s="1116"/>
      <c r="AB63" s="1116"/>
      <c r="AC63" s="1116"/>
      <c r="AD63" s="1116"/>
      <c r="AE63" s="1116"/>
      <c r="AF63" s="1116"/>
      <c r="AG63" s="1116"/>
      <c r="AH63" s="1116"/>
      <c r="AI63" s="1116"/>
      <c r="AJ63" s="1116"/>
      <c r="AK63" s="1116"/>
    </row>
    <row r="64" spans="1:37" s="1115" customFormat="1" ht="36.75">
      <c r="A64" s="2126" t="s">
        <v>2050</v>
      </c>
      <c r="B64" s="2131" t="s">
        <v>2051</v>
      </c>
      <c r="C64" s="2040" t="s">
        <v>3399</v>
      </c>
      <c r="D64" s="1061" t="e">
        <f t="shared" si="13"/>
        <v>#VALUE!</v>
      </c>
      <c r="E64" s="741"/>
      <c r="F64" s="1810"/>
      <c r="G64" s="1059" t="str">
        <f t="shared" si="18"/>
        <v>——</v>
      </c>
      <c r="H64" s="1062" t="str">
        <f t="shared" si="14"/>
        <v>——</v>
      </c>
      <c r="I64" s="3363">
        <v>0.05</v>
      </c>
      <c r="J64" s="1060" t="e">
        <f t="shared" si="15"/>
        <v>#VALUE!</v>
      </c>
      <c r="K64" s="1060" t="e">
        <f t="shared" si="16"/>
        <v>#VALUE!</v>
      </c>
      <c r="L64" s="1060">
        <v>0</v>
      </c>
      <c r="M64" s="1060" t="e">
        <f t="shared" si="17"/>
        <v>#VALUE!</v>
      </c>
      <c r="N64" s="1060" t="e">
        <f t="shared" si="17"/>
        <v>#VALUE!</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3399</v>
      </c>
      <c r="D65" s="1061" t="e">
        <f t="shared" si="13"/>
        <v>#VALUE!</v>
      </c>
      <c r="E65" s="741"/>
      <c r="F65" s="1810"/>
      <c r="G65" s="1059" t="str">
        <f t="shared" si="18"/>
        <v>——</v>
      </c>
      <c r="H65" s="1062" t="str">
        <f t="shared" si="14"/>
        <v>——</v>
      </c>
      <c r="I65" s="3363">
        <v>0.05</v>
      </c>
      <c r="J65" s="1060" t="e">
        <f t="shared" si="15"/>
        <v>#VALUE!</v>
      </c>
      <c r="K65" s="1060" t="e">
        <f t="shared" si="16"/>
        <v>#VALUE!</v>
      </c>
      <c r="L65" s="1060">
        <v>0</v>
      </c>
      <c r="M65" s="1060" t="e">
        <f t="shared" si="17"/>
        <v>#VALUE!</v>
      </c>
      <c r="N65" s="1060" t="e">
        <f t="shared" si="17"/>
        <v>#VALUE!</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t="e">
        <f t="shared" si="13"/>
        <v>#VALUE!</v>
      </c>
      <c r="E66" s="741"/>
      <c r="F66" s="1810"/>
      <c r="G66" s="1059" t="str">
        <f t="shared" si="18"/>
        <v>——</v>
      </c>
      <c r="H66" s="1062" t="str">
        <f t="shared" si="14"/>
        <v>——</v>
      </c>
      <c r="I66" s="3363">
        <v>0.06</v>
      </c>
      <c r="J66" s="1060" t="e">
        <f t="shared" si="15"/>
        <v>#VALUE!</v>
      </c>
      <c r="K66" s="1060" t="e">
        <f t="shared" si="16"/>
        <v>#VALUE!</v>
      </c>
      <c r="L66" s="1060">
        <v>0</v>
      </c>
      <c r="M66" s="1060" t="e">
        <f t="shared" si="17"/>
        <v>#VALUE!</v>
      </c>
      <c r="N66" s="1060" t="e">
        <f t="shared" si="17"/>
        <v>#VALUE!</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t="e">
        <f t="shared" si="13"/>
        <v>#VALUE!</v>
      </c>
      <c r="E67" s="741"/>
      <c r="F67" s="1810"/>
      <c r="G67" s="1059" t="str">
        <f t="shared" si="18"/>
        <v>——</v>
      </c>
      <c r="H67" s="1062" t="str">
        <f t="shared" si="14"/>
        <v>——</v>
      </c>
      <c r="I67" s="3363">
        <v>0.06</v>
      </c>
      <c r="J67" s="1060" t="e">
        <f t="shared" si="15"/>
        <v>#VALUE!</v>
      </c>
      <c r="K67" s="1060" t="e">
        <f t="shared" si="16"/>
        <v>#VALUE!</v>
      </c>
      <c r="L67" s="1060">
        <v>0</v>
      </c>
      <c r="M67" s="1060" t="e">
        <f t="shared" si="17"/>
        <v>#VALUE!</v>
      </c>
      <c r="N67" s="1060" t="e">
        <f t="shared" si="17"/>
        <v>#VALUE!</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t="e">
        <f t="shared" si="13"/>
        <v>#VALUE!</v>
      </c>
      <c r="E68" s="741"/>
      <c r="F68" s="1810"/>
      <c r="G68" s="1059" t="str">
        <f t="shared" si="18"/>
        <v>——</v>
      </c>
      <c r="H68" s="1062" t="str">
        <f t="shared" si="14"/>
        <v>——</v>
      </c>
      <c r="I68" s="3363">
        <v>0.09</v>
      </c>
      <c r="J68" s="1060" t="e">
        <f t="shared" si="15"/>
        <v>#VALUE!</v>
      </c>
      <c r="K68" s="1060" t="e">
        <f t="shared" si="16"/>
        <v>#VALUE!</v>
      </c>
      <c r="L68" s="1060">
        <v>0</v>
      </c>
      <c r="M68" s="1060" t="e">
        <f t="shared" si="17"/>
        <v>#VALUE!</v>
      </c>
      <c r="N68" s="1060" t="e">
        <f t="shared" si="17"/>
        <v>#VALUE!</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t="e">
        <f t="shared" si="13"/>
        <v>#VALUE!</v>
      </c>
      <c r="E69" s="742"/>
      <c r="F69" s="1810"/>
      <c r="G69" s="1059" t="str">
        <f t="shared" si="18"/>
        <v>——</v>
      </c>
      <c r="H69" s="1062" t="str">
        <f t="shared" si="14"/>
        <v>——</v>
      </c>
      <c r="I69" s="3364">
        <v>7.0000000000000007E-2</v>
      </c>
      <c r="J69" s="1060" t="e">
        <f t="shared" si="15"/>
        <v>#VALUE!</v>
      </c>
      <c r="K69" s="1060" t="e">
        <f t="shared" si="16"/>
        <v>#VALUE!</v>
      </c>
      <c r="L69" s="1060">
        <v>0</v>
      </c>
      <c r="M69" s="1060" t="e">
        <f t="shared" si="17"/>
        <v>#VALUE!</v>
      </c>
      <c r="N69" s="1060" t="e">
        <f t="shared" si="17"/>
        <v>#VALUE!</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9">SUMIF($J$71:$N$71,C72,J72:N72)</f>
        <v>0</v>
      </c>
      <c r="E72" s="740">
        <f>ROUND(SUM(D72:D80),4)</f>
        <v>0</v>
      </c>
      <c r="F72" s="1810" t="str">
        <f>IF(E2="住宅",SUMIF(L1:L12,G2,N1:N12),"——")</f>
        <v>——</v>
      </c>
      <c r="G72" s="1059"/>
      <c r="H72" s="1062" t="str">
        <f t="shared" ref="H72:H80" si="20">IFERROR(ROUNDDOWN($F$72*I72/2,4),"——")</f>
        <v>——</v>
      </c>
      <c r="I72" s="3363">
        <v>0.2</v>
      </c>
      <c r="J72" s="1060">
        <f t="shared" ref="J72:J80" si="21">K72+$G72</f>
        <v>0</v>
      </c>
      <c r="K72" s="1060">
        <f t="shared" ref="K72:K80" si="22">$L72+$G72</f>
        <v>0</v>
      </c>
      <c r="L72" s="1060">
        <v>0</v>
      </c>
      <c r="M72" s="1060">
        <f t="shared" ref="M72:N80" si="23">L72-$G72</f>
        <v>0</v>
      </c>
      <c r="N72" s="1060">
        <f t="shared" si="23"/>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9"/>
        <v>0</v>
      </c>
      <c r="E73" s="743"/>
      <c r="F73" s="1810"/>
      <c r="G73" s="1059"/>
      <c r="H73" s="1062" t="str">
        <f t="shared" si="20"/>
        <v>——</v>
      </c>
      <c r="I73" s="3363">
        <v>0.26</v>
      </c>
      <c r="J73" s="1060">
        <f t="shared" si="21"/>
        <v>0</v>
      </c>
      <c r="K73" s="1060">
        <f t="shared" si="22"/>
        <v>0</v>
      </c>
      <c r="L73" s="1060">
        <v>0</v>
      </c>
      <c r="M73" s="1060">
        <f t="shared" si="23"/>
        <v>0</v>
      </c>
      <c r="N73" s="1060">
        <f t="shared" si="23"/>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9"/>
        <v>0</v>
      </c>
      <c r="E74" s="743"/>
      <c r="F74" s="1810"/>
      <c r="G74" s="1059"/>
      <c r="H74" s="1062" t="str">
        <f t="shared" si="20"/>
        <v>——</v>
      </c>
      <c r="I74" s="3363">
        <v>0.1</v>
      </c>
      <c r="J74" s="1060">
        <f t="shared" si="21"/>
        <v>0</v>
      </c>
      <c r="K74" s="1060">
        <f t="shared" si="22"/>
        <v>0</v>
      </c>
      <c r="L74" s="1060">
        <v>0</v>
      </c>
      <c r="M74" s="1060">
        <f t="shared" si="23"/>
        <v>0</v>
      </c>
      <c r="N74" s="1060">
        <f t="shared" si="23"/>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9"/>
        <v>0</v>
      </c>
      <c r="E75" s="743"/>
      <c r="F75" s="1810"/>
      <c r="G75" s="1059"/>
      <c r="H75" s="1062" t="str">
        <f t="shared" si="20"/>
        <v>——</v>
      </c>
      <c r="I75" s="3363">
        <v>0.05</v>
      </c>
      <c r="J75" s="1060">
        <f t="shared" si="21"/>
        <v>0</v>
      </c>
      <c r="K75" s="1060">
        <f t="shared" si="22"/>
        <v>0</v>
      </c>
      <c r="L75" s="1060">
        <v>0</v>
      </c>
      <c r="M75" s="1060">
        <f t="shared" si="23"/>
        <v>0</v>
      </c>
      <c r="N75" s="1060">
        <f t="shared" si="23"/>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9"/>
        <v>0</v>
      </c>
      <c r="E76" s="743"/>
      <c r="F76" s="1810"/>
      <c r="G76" s="1059"/>
      <c r="H76" s="1062" t="str">
        <f t="shared" si="20"/>
        <v>——</v>
      </c>
      <c r="I76" s="3363">
        <v>0.08</v>
      </c>
      <c r="J76" s="1060">
        <f t="shared" si="21"/>
        <v>0</v>
      </c>
      <c r="K76" s="1060">
        <f t="shared" si="22"/>
        <v>0</v>
      </c>
      <c r="L76" s="1060">
        <v>0</v>
      </c>
      <c r="M76" s="1060">
        <f t="shared" si="23"/>
        <v>0</v>
      </c>
      <c r="N76" s="1060">
        <f t="shared" si="23"/>
        <v>0</v>
      </c>
      <c r="O76" s="1115"/>
      <c r="P76" s="1115"/>
      <c r="Z76" s="1994"/>
      <c r="AA76" s="2049"/>
      <c r="AG76" s="1117"/>
      <c r="AK76" s="2049"/>
    </row>
    <row r="77" spans="1:37" ht="25.5">
      <c r="A77" s="2126" t="s">
        <v>2056</v>
      </c>
      <c r="B77" s="1322" t="str">
        <f>估价对象房地状况!C22</f>
        <v>估价对象所在区域基础设施水平</v>
      </c>
      <c r="C77" s="2040"/>
      <c r="D77" s="1061">
        <f t="shared" si="19"/>
        <v>0</v>
      </c>
      <c r="E77" s="743"/>
      <c r="F77" s="1810"/>
      <c r="G77" s="1059"/>
      <c r="H77" s="1062" t="str">
        <f t="shared" si="20"/>
        <v>——</v>
      </c>
      <c r="I77" s="3363">
        <v>0.09</v>
      </c>
      <c r="J77" s="1060">
        <f t="shared" si="21"/>
        <v>0</v>
      </c>
      <c r="K77" s="1060">
        <f t="shared" si="22"/>
        <v>0</v>
      </c>
      <c r="L77" s="1060">
        <v>0</v>
      </c>
      <c r="M77" s="1060">
        <f t="shared" si="23"/>
        <v>0</v>
      </c>
      <c r="N77" s="1060">
        <f t="shared" si="23"/>
        <v>0</v>
      </c>
      <c r="O77" s="1115"/>
      <c r="P77" s="1115"/>
      <c r="Z77" s="1994"/>
      <c r="AA77" s="2049"/>
      <c r="AG77" s="1117"/>
      <c r="AK77" s="2049"/>
    </row>
    <row r="78" spans="1:37" ht="24">
      <c r="A78" s="2126" t="s">
        <v>2053</v>
      </c>
      <c r="B78" s="2132" t="s">
        <v>2054</v>
      </c>
      <c r="C78" s="2040"/>
      <c r="D78" s="1061">
        <f t="shared" si="19"/>
        <v>0</v>
      </c>
      <c r="E78" s="743"/>
      <c r="F78" s="1810"/>
      <c r="G78" s="1059"/>
      <c r="H78" s="1062" t="str">
        <f t="shared" si="20"/>
        <v>——</v>
      </c>
      <c r="I78" s="3363">
        <v>0.05</v>
      </c>
      <c r="J78" s="1060">
        <f t="shared" si="21"/>
        <v>0</v>
      </c>
      <c r="K78" s="1060">
        <f t="shared" si="22"/>
        <v>0</v>
      </c>
      <c r="L78" s="1060">
        <v>0</v>
      </c>
      <c r="M78" s="1060">
        <f t="shared" si="23"/>
        <v>0</v>
      </c>
      <c r="N78" s="1060">
        <f t="shared" si="23"/>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9"/>
        <v>0</v>
      </c>
      <c r="E79" s="743"/>
      <c r="F79" s="1810"/>
      <c r="G79" s="1059"/>
      <c r="H79" s="1062" t="str">
        <f t="shared" si="20"/>
        <v>——</v>
      </c>
      <c r="I79" s="3363">
        <v>0.12</v>
      </c>
      <c r="J79" s="1060">
        <f t="shared" si="21"/>
        <v>0</v>
      </c>
      <c r="K79" s="1060">
        <f t="shared" si="22"/>
        <v>0</v>
      </c>
      <c r="L79" s="1060">
        <v>0</v>
      </c>
      <c r="M79" s="1060">
        <f t="shared" si="23"/>
        <v>0</v>
      </c>
      <c r="N79" s="1060">
        <f t="shared" si="23"/>
        <v>0</v>
      </c>
      <c r="Z79" s="1994"/>
      <c r="AA79" s="2049"/>
      <c r="AG79" s="1117"/>
      <c r="AK79" s="2049"/>
    </row>
    <row r="80" spans="1:37" ht="24.75" thickBot="1">
      <c r="A80" s="2134" t="s">
        <v>2064</v>
      </c>
      <c r="B80" s="2138"/>
      <c r="C80" s="2040"/>
      <c r="D80" s="1061">
        <f t="shared" si="19"/>
        <v>0</v>
      </c>
      <c r="E80" s="744"/>
      <c r="F80" s="1810"/>
      <c r="G80" s="1059"/>
      <c r="H80" s="1062" t="str">
        <f t="shared" si="20"/>
        <v>——</v>
      </c>
      <c r="I80" s="3364">
        <v>0.05</v>
      </c>
      <c r="J80" s="1060">
        <f t="shared" si="21"/>
        <v>0</v>
      </c>
      <c r="K80" s="1060">
        <f t="shared" si="22"/>
        <v>0</v>
      </c>
      <c r="L80" s="1060">
        <v>0</v>
      </c>
      <c r="M80" s="1060">
        <f t="shared" si="23"/>
        <v>0</v>
      </c>
      <c r="N80" s="1060">
        <f t="shared" si="23"/>
        <v>0</v>
      </c>
      <c r="Z80" s="1994"/>
      <c r="AA80" s="2049"/>
      <c r="AG80" s="1117"/>
      <c r="AK80" s="2049"/>
    </row>
    <row r="81" spans="1:37" ht="15">
      <c r="A81" s="2122" t="s">
        <v>2065</v>
      </c>
      <c r="B81" s="2123">
        <f>1+E83</f>
        <v>1.026</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f t="shared" ref="D83:D90" si="24">SUMIF($J$82:$N$82,C83,J83:N83)</f>
        <v>1.8800000000000001E-2</v>
      </c>
      <c r="E83" s="740">
        <f>ROUND(SUM(D83:D90),4)</f>
        <v>2.5999999999999999E-2</v>
      </c>
      <c r="F83" s="1810">
        <f>IF(E2="工业",SUMIF(L1:L12,G2,N1:N12),"——")</f>
        <v>0.14499999999999999</v>
      </c>
      <c r="G83" s="1059">
        <f>H83</f>
        <v>1.8800000000000001E-2</v>
      </c>
      <c r="H83" s="1062">
        <f t="shared" ref="H83:H90" si="25">IFERROR(ROUNDDOWN($F$83*I83/2,4),"——")</f>
        <v>1.8800000000000001E-2</v>
      </c>
      <c r="I83" s="3363">
        <v>0.26</v>
      </c>
      <c r="J83" s="1060">
        <f t="shared" ref="J83:J90" si="26">K83+$G83</f>
        <v>3.7600000000000001E-2</v>
      </c>
      <c r="K83" s="1060">
        <f t="shared" ref="K83:K90" si="27">$L83+$G83</f>
        <v>1.8800000000000001E-2</v>
      </c>
      <c r="L83" s="1060">
        <v>0</v>
      </c>
      <c r="M83" s="1060">
        <f t="shared" ref="M83:N90" si="28">L83-$G83</f>
        <v>-1.8800000000000001E-2</v>
      </c>
      <c r="N83" s="1060">
        <f t="shared" si="28"/>
        <v>-3.7600000000000001E-2</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4"/>
        <v>0</v>
      </c>
      <c r="E84" s="743"/>
      <c r="F84" s="1810"/>
      <c r="G84" s="1059">
        <f t="shared" ref="G84:G90" si="29">H84</f>
        <v>2.1700000000000001E-2</v>
      </c>
      <c r="H84" s="1062">
        <f t="shared" si="25"/>
        <v>2.1700000000000001E-2</v>
      </c>
      <c r="I84" s="3363">
        <v>0.3</v>
      </c>
      <c r="J84" s="1060">
        <f t="shared" si="26"/>
        <v>4.3400000000000001E-2</v>
      </c>
      <c r="K84" s="1060">
        <f t="shared" si="27"/>
        <v>2.1700000000000001E-2</v>
      </c>
      <c r="L84" s="1060">
        <v>0</v>
      </c>
      <c r="M84" s="1060">
        <f t="shared" si="28"/>
        <v>-2.1700000000000001E-2</v>
      </c>
      <c r="N84" s="1060">
        <f t="shared" si="28"/>
        <v>-4.3400000000000001E-2</v>
      </c>
      <c r="Z84" s="1994"/>
      <c r="AA84" s="2049"/>
      <c r="AG84" s="1117"/>
      <c r="AK84" s="2049"/>
    </row>
    <row r="85" spans="1:37" ht="36">
      <c r="A85" s="3365" t="s">
        <v>3268</v>
      </c>
      <c r="B85" s="2130">
        <f>估价对象房地状况!G17</f>
        <v>0</v>
      </c>
      <c r="C85" s="2040" t="s">
        <v>3399</v>
      </c>
      <c r="D85" s="1061">
        <f t="shared" si="24"/>
        <v>7.1999999999999998E-3</v>
      </c>
      <c r="E85" s="743"/>
      <c r="F85" s="1810"/>
      <c r="G85" s="1059">
        <f t="shared" si="29"/>
        <v>7.1999999999999998E-3</v>
      </c>
      <c r="H85" s="1062">
        <f t="shared" si="25"/>
        <v>7.1999999999999998E-3</v>
      </c>
      <c r="I85" s="3363">
        <v>0.1</v>
      </c>
      <c r="J85" s="1060">
        <f t="shared" si="26"/>
        <v>1.44E-2</v>
      </c>
      <c r="K85" s="1060">
        <f t="shared" si="27"/>
        <v>7.1999999999999998E-3</v>
      </c>
      <c r="L85" s="1060">
        <v>0</v>
      </c>
      <c r="M85" s="1060">
        <f t="shared" si="28"/>
        <v>-7.1999999999999998E-3</v>
      </c>
      <c r="N85" s="1060">
        <f t="shared" si="28"/>
        <v>-1.44E-2</v>
      </c>
      <c r="Z85" s="1994"/>
      <c r="AA85" s="2049"/>
      <c r="AG85" s="1117"/>
      <c r="AK85" s="2049"/>
    </row>
    <row r="86" spans="1:37" ht="14.25">
      <c r="A86" s="2126" t="s">
        <v>2063</v>
      </c>
      <c r="B86" s="2130">
        <f>估价对象房地状况!G22</f>
        <v>0</v>
      </c>
      <c r="C86" s="2040" t="s">
        <v>3401</v>
      </c>
      <c r="D86" s="1061">
        <f t="shared" si="24"/>
        <v>-3.5999999999999999E-3</v>
      </c>
      <c r="E86" s="743"/>
      <c r="F86" s="1810"/>
      <c r="G86" s="1059">
        <f t="shared" si="29"/>
        <v>3.5999999999999999E-3</v>
      </c>
      <c r="H86" s="1062">
        <f t="shared" si="25"/>
        <v>3.5999999999999999E-3</v>
      </c>
      <c r="I86" s="3363">
        <v>0.05</v>
      </c>
      <c r="J86" s="1060">
        <f t="shared" si="26"/>
        <v>7.1999999999999998E-3</v>
      </c>
      <c r="K86" s="1060">
        <f t="shared" si="27"/>
        <v>3.5999999999999999E-3</v>
      </c>
      <c r="L86" s="1060">
        <v>0</v>
      </c>
      <c r="M86" s="1060">
        <f t="shared" si="28"/>
        <v>-3.5999999999999999E-3</v>
      </c>
      <c r="N86" s="1060">
        <f t="shared" si="28"/>
        <v>-7.1999999999999998E-3</v>
      </c>
      <c r="Z86" s="1994"/>
      <c r="AA86" s="2049"/>
      <c r="AG86" s="1117"/>
      <c r="AK86" s="2049"/>
    </row>
    <row r="87" spans="1:37" ht="25.5">
      <c r="A87" s="2126" t="s">
        <v>2055</v>
      </c>
      <c r="B87" s="1322" t="str">
        <f>估价对象房地状况!G19</f>
        <v>估价对象所在区域公共配套设施齐备情况</v>
      </c>
      <c r="C87" s="2040" t="s">
        <v>3401</v>
      </c>
      <c r="D87" s="1061">
        <f t="shared" si="24"/>
        <v>-4.3E-3</v>
      </c>
      <c r="E87" s="743"/>
      <c r="F87" s="1810"/>
      <c r="G87" s="1059">
        <f t="shared" si="29"/>
        <v>4.3E-3</v>
      </c>
      <c r="H87" s="1062">
        <f t="shared" si="25"/>
        <v>4.3E-3</v>
      </c>
      <c r="I87" s="3363">
        <v>0.06</v>
      </c>
      <c r="J87" s="1060">
        <f t="shared" si="26"/>
        <v>8.6E-3</v>
      </c>
      <c r="K87" s="1060">
        <f t="shared" si="27"/>
        <v>4.3E-3</v>
      </c>
      <c r="L87" s="1060">
        <v>0</v>
      </c>
      <c r="M87" s="1060">
        <f t="shared" si="28"/>
        <v>-4.3E-3</v>
      </c>
      <c r="N87" s="1060">
        <f t="shared" si="28"/>
        <v>-8.6E-3</v>
      </c>
    </row>
    <row r="88" spans="1:37" ht="25.5">
      <c r="A88" s="2126" t="s">
        <v>2056</v>
      </c>
      <c r="B88" s="1322" t="str">
        <f>估价对象房地状况!G20</f>
        <v>估价对象所在区域基础设施水平</v>
      </c>
      <c r="C88" s="2040" t="s">
        <v>3400</v>
      </c>
      <c r="D88" s="1061">
        <f t="shared" si="24"/>
        <v>0</v>
      </c>
      <c r="E88" s="743"/>
      <c r="F88" s="1810"/>
      <c r="G88" s="1059">
        <f t="shared" si="29"/>
        <v>8.6999999999999994E-3</v>
      </c>
      <c r="H88" s="1062">
        <f t="shared" si="25"/>
        <v>8.6999999999999994E-3</v>
      </c>
      <c r="I88" s="3363">
        <v>0.12</v>
      </c>
      <c r="J88" s="1060">
        <f t="shared" si="26"/>
        <v>1.7399999999999999E-2</v>
      </c>
      <c r="K88" s="1060">
        <f t="shared" si="27"/>
        <v>8.6999999999999994E-3</v>
      </c>
      <c r="L88" s="1060">
        <v>0</v>
      </c>
      <c r="M88" s="1060">
        <f t="shared" si="28"/>
        <v>-8.6999999999999994E-3</v>
      </c>
      <c r="N88" s="1060">
        <f t="shared" si="28"/>
        <v>-1.7399999999999999E-2</v>
      </c>
    </row>
    <row r="89" spans="1:37" ht="24">
      <c r="A89" s="2126" t="s">
        <v>2053</v>
      </c>
      <c r="B89" s="2132" t="s">
        <v>2067</v>
      </c>
      <c r="C89" s="2040" t="s">
        <v>3399</v>
      </c>
      <c r="D89" s="1061">
        <f t="shared" si="24"/>
        <v>4.3E-3</v>
      </c>
      <c r="E89" s="743"/>
      <c r="F89" s="1810"/>
      <c r="G89" s="1059">
        <f t="shared" si="29"/>
        <v>4.3E-3</v>
      </c>
      <c r="H89" s="1062">
        <f t="shared" si="25"/>
        <v>4.3E-3</v>
      </c>
      <c r="I89" s="3363">
        <v>0.06</v>
      </c>
      <c r="J89" s="1060">
        <f t="shared" si="26"/>
        <v>8.6E-3</v>
      </c>
      <c r="K89" s="1060">
        <f t="shared" si="27"/>
        <v>4.3E-3</v>
      </c>
      <c r="L89" s="1060">
        <v>0</v>
      </c>
      <c r="M89" s="1060">
        <f t="shared" si="28"/>
        <v>-4.3E-3</v>
      </c>
      <c r="N89" s="1060">
        <f t="shared" si="28"/>
        <v>-8.6E-3</v>
      </c>
    </row>
    <row r="90" spans="1:37" ht="39" thickBot="1">
      <c r="A90" s="2134" t="s">
        <v>2068</v>
      </c>
      <c r="B90" s="2139" t="str">
        <f>估价对象房地状况!G18</f>
        <v>该园区内是否有污染型企业，绿化情况，卫生条件，整体环境状况判断</v>
      </c>
      <c r="C90" s="2040" t="s">
        <v>3399</v>
      </c>
      <c r="D90" s="1061">
        <f t="shared" si="24"/>
        <v>3.5999999999999999E-3</v>
      </c>
      <c r="E90" s="744"/>
      <c r="F90" s="1810"/>
      <c r="G90" s="1059">
        <f t="shared" si="29"/>
        <v>3.5999999999999999E-3</v>
      </c>
      <c r="H90" s="1062">
        <f t="shared" si="25"/>
        <v>3.5999999999999999E-3</v>
      </c>
      <c r="I90" s="3364">
        <v>0.05</v>
      </c>
      <c r="J90" s="1060">
        <f t="shared" si="26"/>
        <v>7.1999999999999998E-3</v>
      </c>
      <c r="K90" s="1060">
        <f t="shared" si="27"/>
        <v>3.5999999999999999E-3</v>
      </c>
      <c r="L90" s="1060">
        <v>0</v>
      </c>
      <c r="M90" s="1060">
        <f t="shared" si="28"/>
        <v>-3.5999999999999999E-3</v>
      </c>
      <c r="N90" s="1060">
        <f t="shared" si="28"/>
        <v>-7.1999999999999998E-3</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30">K93+$G93</f>
        <v>0</v>
      </c>
      <c r="K93" s="3341">
        <f t="shared" ref="K93:K101" si="31">$L93+$G93</f>
        <v>0</v>
      </c>
      <c r="L93" s="3341">
        <v>0</v>
      </c>
      <c r="M93" s="3341">
        <f t="shared" ref="M93:N101" si="32">L93-$G93</f>
        <v>0</v>
      </c>
      <c r="N93" s="3341">
        <f t="shared" si="32"/>
        <v>0</v>
      </c>
    </row>
    <row r="94" spans="1:37" ht="38.25">
      <c r="A94" s="3375" t="s">
        <v>3271</v>
      </c>
      <c r="B94" s="3366" t="str">
        <f>估价对象房地状况!C18</f>
        <v>估价对象周边道路状况、公共交通通达情况、停车便捷程度，综合评价交通便捷度较好</v>
      </c>
      <c r="C94" s="2040"/>
      <c r="D94" s="3362">
        <f t="shared" ref="D94:D101" si="33">SUMIF($J$60:$N$60,C94,J94:N94)</f>
        <v>0</v>
      </c>
      <c r="E94" s="3379"/>
      <c r="F94" s="1810"/>
      <c r="G94" s="3369"/>
      <c r="H94" s="3417" t="str">
        <f>IFERROR(ROUNDDOWN($F$93*I94/2,4),"——")</f>
        <v>——</v>
      </c>
      <c r="I94" s="3363">
        <v>0.26</v>
      </c>
      <c r="J94" s="3341">
        <f t="shared" si="30"/>
        <v>0</v>
      </c>
      <c r="K94" s="3341">
        <f t="shared" si="31"/>
        <v>0</v>
      </c>
      <c r="L94" s="3341">
        <v>0</v>
      </c>
      <c r="M94" s="3341">
        <f t="shared" si="32"/>
        <v>0</v>
      </c>
      <c r="N94" s="3341">
        <f t="shared" si="32"/>
        <v>0</v>
      </c>
    </row>
    <row r="95" spans="1:37" ht="36">
      <c r="A95" s="3365" t="s">
        <v>3267</v>
      </c>
      <c r="B95" s="3366">
        <f>估价对象房地状况!C19</f>
        <v>0</v>
      </c>
      <c r="C95" s="2040"/>
      <c r="D95" s="3362">
        <f t="shared" si="33"/>
        <v>0</v>
      </c>
      <c r="E95" s="3379"/>
      <c r="F95" s="1810"/>
      <c r="G95" s="3369"/>
      <c r="H95" s="3417" t="str">
        <f t="shared" ref="H95:H101" si="34">IFERROR(ROUNDDOWN($F$93*I95/2,4),"——")</f>
        <v>——</v>
      </c>
      <c r="I95" s="3363">
        <v>0.11</v>
      </c>
      <c r="J95" s="3341">
        <f t="shared" si="30"/>
        <v>0</v>
      </c>
      <c r="K95" s="3341">
        <f t="shared" si="31"/>
        <v>0</v>
      </c>
      <c r="L95" s="3341">
        <v>0</v>
      </c>
      <c r="M95" s="3341">
        <f t="shared" si="32"/>
        <v>0</v>
      </c>
      <c r="N95" s="3341">
        <f t="shared" si="32"/>
        <v>0</v>
      </c>
    </row>
    <row r="96" spans="1:37" ht="36.75">
      <c r="A96" s="3375" t="s">
        <v>3272</v>
      </c>
      <c r="B96" s="3381" t="s">
        <v>3283</v>
      </c>
      <c r="C96" s="2040"/>
      <c r="D96" s="3362">
        <f t="shared" si="33"/>
        <v>0</v>
      </c>
      <c r="E96" s="3379"/>
      <c r="F96" s="1810"/>
      <c r="G96" s="3369"/>
      <c r="H96" s="3417" t="str">
        <f t="shared" si="34"/>
        <v>——</v>
      </c>
      <c r="I96" s="3363">
        <v>0.05</v>
      </c>
      <c r="J96" s="3341">
        <f t="shared" si="30"/>
        <v>0</v>
      </c>
      <c r="K96" s="3341">
        <f t="shared" si="31"/>
        <v>0</v>
      </c>
      <c r="L96" s="3341">
        <v>0</v>
      </c>
      <c r="M96" s="3341">
        <f t="shared" si="32"/>
        <v>0</v>
      </c>
      <c r="N96" s="3341">
        <f t="shared" si="32"/>
        <v>0</v>
      </c>
    </row>
    <row r="97" spans="1:14" ht="24">
      <c r="A97" s="3375" t="s">
        <v>3273</v>
      </c>
      <c r="B97" s="3366">
        <f>估价对象房地状况!C24</f>
        <v>0</v>
      </c>
      <c r="C97" s="2040"/>
      <c r="D97" s="3362">
        <f t="shared" si="33"/>
        <v>0</v>
      </c>
      <c r="E97" s="3379"/>
      <c r="F97" s="1810"/>
      <c r="G97" s="3369"/>
      <c r="H97" s="3417" t="str">
        <f t="shared" si="34"/>
        <v>——</v>
      </c>
      <c r="I97" s="3363">
        <v>0.05</v>
      </c>
      <c r="J97" s="3341">
        <f t="shared" si="30"/>
        <v>0</v>
      </c>
      <c r="K97" s="3341">
        <f t="shared" si="31"/>
        <v>0</v>
      </c>
      <c r="L97" s="3341">
        <v>0</v>
      </c>
      <c r="M97" s="3341">
        <f t="shared" si="32"/>
        <v>0</v>
      </c>
      <c r="N97" s="3341">
        <f t="shared" si="32"/>
        <v>0</v>
      </c>
    </row>
    <row r="98" spans="1:14" ht="24">
      <c r="A98" s="3375" t="s">
        <v>3274</v>
      </c>
      <c r="B98" s="3382" t="s">
        <v>3284</v>
      </c>
      <c r="C98" s="2040"/>
      <c r="D98" s="3362">
        <f t="shared" si="33"/>
        <v>0</v>
      </c>
      <c r="E98" s="3379"/>
      <c r="F98" s="1810"/>
      <c r="G98" s="3369"/>
      <c r="H98" s="3417" t="str">
        <f t="shared" si="34"/>
        <v>——</v>
      </c>
      <c r="I98" s="3363">
        <v>0.06</v>
      </c>
      <c r="J98" s="3341">
        <f t="shared" si="30"/>
        <v>0</v>
      </c>
      <c r="K98" s="3341">
        <f t="shared" si="31"/>
        <v>0</v>
      </c>
      <c r="L98" s="3341">
        <v>0</v>
      </c>
      <c r="M98" s="3341">
        <f t="shared" si="32"/>
        <v>0</v>
      </c>
      <c r="N98" s="3341">
        <f t="shared" si="32"/>
        <v>0</v>
      </c>
    </row>
    <row r="99" spans="1:14" ht="25.5">
      <c r="A99" s="3375" t="s">
        <v>3275</v>
      </c>
      <c r="B99" s="3366" t="str">
        <f>估价对象房地状况!C21</f>
        <v>估价对象所在区域公共配套设施齐备情况</v>
      </c>
      <c r="C99" s="2040"/>
      <c r="D99" s="3362">
        <f t="shared" si="33"/>
        <v>0</v>
      </c>
      <c r="E99" s="3379"/>
      <c r="F99" s="1810"/>
      <c r="G99" s="3369"/>
      <c r="H99" s="3417" t="str">
        <f t="shared" si="34"/>
        <v>——</v>
      </c>
      <c r="I99" s="3363">
        <v>0.06</v>
      </c>
      <c r="J99" s="3341">
        <f t="shared" si="30"/>
        <v>0</v>
      </c>
      <c r="K99" s="3341">
        <f t="shared" si="31"/>
        <v>0</v>
      </c>
      <c r="L99" s="3341">
        <v>0</v>
      </c>
      <c r="M99" s="3341">
        <f t="shared" si="32"/>
        <v>0</v>
      </c>
      <c r="N99" s="3341">
        <f t="shared" si="32"/>
        <v>0</v>
      </c>
    </row>
    <row r="100" spans="1:14" ht="25.5">
      <c r="A100" s="3375" t="s">
        <v>3276</v>
      </c>
      <c r="B100" s="3366" t="str">
        <f>估价对象房地状况!C22</f>
        <v>估价对象所在区域基础设施水平</v>
      </c>
      <c r="C100" s="2040"/>
      <c r="D100" s="3362">
        <f t="shared" si="33"/>
        <v>0</v>
      </c>
      <c r="E100" s="3379"/>
      <c r="F100" s="1810"/>
      <c r="G100" s="3369"/>
      <c r="H100" s="3417" t="str">
        <f t="shared" si="34"/>
        <v>——</v>
      </c>
      <c r="I100" s="3363">
        <v>0.09</v>
      </c>
      <c r="J100" s="3341">
        <f t="shared" si="30"/>
        <v>0</v>
      </c>
      <c r="K100" s="3341">
        <f t="shared" si="31"/>
        <v>0</v>
      </c>
      <c r="L100" s="3341">
        <v>0</v>
      </c>
      <c r="M100" s="3341">
        <f t="shared" si="32"/>
        <v>0</v>
      </c>
      <c r="N100" s="3341">
        <f t="shared" si="32"/>
        <v>0</v>
      </c>
    </row>
    <row r="101" spans="1:14" ht="26.25" thickBot="1">
      <c r="A101" s="3376" t="s">
        <v>3277</v>
      </c>
      <c r="B101" s="3383" t="str">
        <f>估价对象房地状况!C20</f>
        <v>区域自然环境：；人文环境；综合评价环境状况一般</v>
      </c>
      <c r="C101" s="2040"/>
      <c r="D101" s="3362">
        <f t="shared" si="33"/>
        <v>0</v>
      </c>
      <c r="E101" s="3380"/>
      <c r="F101" s="1810"/>
      <c r="G101" s="3369"/>
      <c r="H101" s="3417" t="str">
        <f t="shared" si="34"/>
        <v>——</v>
      </c>
      <c r="I101" s="3364">
        <v>7.0000000000000007E-2</v>
      </c>
      <c r="J101" s="3341">
        <f t="shared" si="30"/>
        <v>0</v>
      </c>
      <c r="K101" s="3341">
        <f t="shared" si="31"/>
        <v>0</v>
      </c>
      <c r="L101" s="3341">
        <v>0</v>
      </c>
      <c r="M101" s="3341">
        <f t="shared" si="32"/>
        <v>0</v>
      </c>
      <c r="N101" s="3341">
        <f t="shared" si="32"/>
        <v>0</v>
      </c>
    </row>
    <row r="103" spans="1:14">
      <c r="A103" s="3808" t="s">
        <v>3292</v>
      </c>
      <c r="B103" s="3808"/>
      <c r="C103" s="3808"/>
      <c r="D103" s="3808"/>
      <c r="E103" s="3808"/>
      <c r="F103" s="3808"/>
      <c r="G103" s="3808"/>
      <c r="H103" s="3808"/>
      <c r="I103" s="3808"/>
      <c r="J103" s="3808"/>
      <c r="K103" s="3386"/>
      <c r="L103" s="3386"/>
      <c r="M103" s="3386"/>
      <c r="N103" s="3386"/>
    </row>
    <row r="104" spans="1:14">
      <c r="A104" s="3809" t="s">
        <v>3293</v>
      </c>
      <c r="B104" s="3809" t="s">
        <v>3294</v>
      </c>
      <c r="C104" s="3387" t="s">
        <v>3295</v>
      </c>
      <c r="D104" s="3388"/>
      <c r="E104" s="3388"/>
      <c r="F104" s="3388"/>
      <c r="G104" s="3388"/>
      <c r="H104" s="3388"/>
      <c r="I104" s="3388"/>
      <c r="J104" s="3389"/>
      <c r="K104" s="3390"/>
      <c r="L104" s="3390"/>
      <c r="M104" s="3390"/>
      <c r="N104" s="3390"/>
    </row>
    <row r="105" spans="1:14">
      <c r="A105" s="3809"/>
      <c r="B105" s="3809"/>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795"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6"/>
      <c r="B111" s="3391" t="s">
        <v>3266</v>
      </c>
      <c r="C111" s="3392">
        <f>$I$3</f>
        <v>1</v>
      </c>
      <c r="D111" s="3392">
        <f t="shared" ref="D111:M111" si="35">$I$3</f>
        <v>1</v>
      </c>
      <c r="E111" s="3392">
        <f t="shared" si="35"/>
        <v>1</v>
      </c>
      <c r="F111" s="3392">
        <f t="shared" si="35"/>
        <v>1</v>
      </c>
      <c r="G111" s="3392">
        <f t="shared" si="35"/>
        <v>1</v>
      </c>
      <c r="H111" s="3392">
        <f t="shared" si="35"/>
        <v>1</v>
      </c>
      <c r="I111" s="3392">
        <f t="shared" si="35"/>
        <v>1</v>
      </c>
      <c r="J111" s="3392">
        <f t="shared" si="35"/>
        <v>1</v>
      </c>
      <c r="K111" s="3392">
        <f t="shared" si="35"/>
        <v>1</v>
      </c>
      <c r="L111" s="3392">
        <f t="shared" si="35"/>
        <v>1</v>
      </c>
      <c r="M111" s="3392">
        <f t="shared" si="35"/>
        <v>1</v>
      </c>
      <c r="N111" s="3392">
        <f>$I$3</f>
        <v>1</v>
      </c>
    </row>
    <row r="112" spans="1:14">
      <c r="A112" s="3797"/>
      <c r="B112" s="3391">
        <v>6</v>
      </c>
      <c r="C112" s="3384">
        <f>(-0.5556*(C111^2)-0.2719*C111+8944)*(10^(-4))</f>
        <v>0.89431725000000006</v>
      </c>
      <c r="D112" s="3384">
        <f>(-0.5556*(D111^2)-0.2719*D111+8944)*(10^(-4))</f>
        <v>0.89431725000000006</v>
      </c>
      <c r="E112" s="3384">
        <f>(-0.7912*(E111^2)-11.3794*E111+8482)*(10^(-4))</f>
        <v>0.84698294000000007</v>
      </c>
      <c r="F112" s="3384">
        <f t="shared" ref="F112:I112" si="36">(-0.7912*(F111^2)-11.3794*F111+8482)*(10^(-4))</f>
        <v>0.84698294000000007</v>
      </c>
      <c r="G112" s="3384">
        <f t="shared" si="36"/>
        <v>0.84698294000000007</v>
      </c>
      <c r="H112" s="3384">
        <f t="shared" si="36"/>
        <v>0.84698294000000007</v>
      </c>
      <c r="I112" s="3384">
        <f t="shared" si="36"/>
        <v>0.84698294000000007</v>
      </c>
      <c r="J112" s="3384">
        <f>(-0.989*(J111^2)-63.78*J111+7771)*(10^(-4))</f>
        <v>0.77062310000000001</v>
      </c>
      <c r="K112" s="3384">
        <f t="shared" ref="K112:N112" si="37">(-0.989*(K111^2)-63.78*K111+7771)*(10^(-4))</f>
        <v>0.77062310000000001</v>
      </c>
      <c r="L112" s="3384">
        <f t="shared" si="37"/>
        <v>0.77062310000000001</v>
      </c>
      <c r="M112" s="3384">
        <f t="shared" si="37"/>
        <v>0.77062310000000001</v>
      </c>
      <c r="N112" s="3384">
        <f t="shared" si="37"/>
        <v>0.77062310000000001</v>
      </c>
    </row>
    <row r="113" spans="1:14">
      <c r="A113" s="3798" t="s">
        <v>3309</v>
      </c>
      <c r="B113" s="3798"/>
      <c r="C113" s="3798"/>
      <c r="D113" s="3798"/>
      <c r="E113" s="3798"/>
      <c r="F113" s="3798"/>
      <c r="G113" s="3798"/>
      <c r="H113" s="3798"/>
      <c r="I113" s="3798"/>
      <c r="J113" s="379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1</v>
      </c>
      <c r="C116" s="3396" t="s">
        <v>3311</v>
      </c>
      <c r="D116" s="3397">
        <f>SUMPRODUCT((A118:A122=F116)*(B117:M117=H116)*B118:M122)</f>
        <v>0.57150000000000001</v>
      </c>
      <c r="E116" s="1996" t="s">
        <v>3312</v>
      </c>
      <c r="F116" s="3398" t="str">
        <f>E2</f>
        <v>工业</v>
      </c>
      <c r="G116" s="1996" t="s">
        <v>3313</v>
      </c>
      <c r="H116" s="3398" t="str">
        <f>G2</f>
        <v>九级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8">I118</f>
        <v>0.8306</v>
      </c>
      <c r="K118" s="3384">
        <f t="shared" si="38"/>
        <v>0.8306</v>
      </c>
      <c r="L118" s="3384">
        <f t="shared" si="38"/>
        <v>0.8306</v>
      </c>
      <c r="M118" s="3407">
        <f t="shared" si="38"/>
        <v>0.8306</v>
      </c>
      <c r="N118" s="3394"/>
    </row>
    <row r="119" spans="1:14">
      <c r="A119" s="3406" t="s">
        <v>3327</v>
      </c>
      <c r="B119" s="3384">
        <f>ROUND(0.993-0.0112*B116,4)</f>
        <v>0.98180000000000001</v>
      </c>
      <c r="C119" s="3384">
        <f>B119</f>
        <v>0.98180000000000001</v>
      </c>
      <c r="D119" s="3384">
        <f>ROUND(0.9415-0.0142*B116,4)</f>
        <v>0.92730000000000001</v>
      </c>
      <c r="E119" s="3384">
        <f t="shared" ref="E119:H120" si="39">D119</f>
        <v>0.92730000000000001</v>
      </c>
      <c r="F119" s="3384">
        <f t="shared" si="39"/>
        <v>0.92730000000000001</v>
      </c>
      <c r="G119" s="3384">
        <f t="shared" si="39"/>
        <v>0.92730000000000001</v>
      </c>
      <c r="H119" s="3384">
        <f t="shared" si="39"/>
        <v>0.92730000000000001</v>
      </c>
      <c r="I119" s="3384">
        <f>ROUND(0.838-0.0182*B116,4)</f>
        <v>0.81979999999999997</v>
      </c>
      <c r="J119" s="3384">
        <f t="shared" si="38"/>
        <v>0.81979999999999997</v>
      </c>
      <c r="K119" s="3384">
        <f t="shared" si="38"/>
        <v>0.81979999999999997</v>
      </c>
      <c r="L119" s="3384">
        <f t="shared" si="38"/>
        <v>0.81979999999999997</v>
      </c>
      <c r="M119" s="3407">
        <f t="shared" si="38"/>
        <v>0.81979999999999997</v>
      </c>
      <c r="N119" s="3394"/>
    </row>
    <row r="120" spans="1:14">
      <c r="A120" s="3406" t="s">
        <v>3328</v>
      </c>
      <c r="B120" s="3384">
        <f>ROUND(0.9448-0.0115*B116,4)</f>
        <v>0.93330000000000002</v>
      </c>
      <c r="C120" s="3384">
        <f>B120</f>
        <v>0.93330000000000002</v>
      </c>
      <c r="D120" s="3384">
        <f>ROUND(0.937-0.0145*B116,4)</f>
        <v>0.92249999999999999</v>
      </c>
      <c r="E120" s="3384">
        <f t="shared" si="39"/>
        <v>0.92249999999999999</v>
      </c>
      <c r="F120" s="3384">
        <f t="shared" si="39"/>
        <v>0.92249999999999999</v>
      </c>
      <c r="G120" s="3384">
        <f t="shared" si="39"/>
        <v>0.92249999999999999</v>
      </c>
      <c r="H120" s="3384">
        <f t="shared" si="39"/>
        <v>0.92249999999999999</v>
      </c>
      <c r="I120" s="3384">
        <f>ROUND(0.7965-0.0185*B116,4)</f>
        <v>0.77800000000000002</v>
      </c>
      <c r="J120" s="3384">
        <f t="shared" si="38"/>
        <v>0.77800000000000002</v>
      </c>
      <c r="K120" s="3384">
        <f t="shared" si="38"/>
        <v>0.77800000000000002</v>
      </c>
      <c r="L120" s="3384">
        <f t="shared" si="38"/>
        <v>0.77800000000000002</v>
      </c>
      <c r="M120" s="3407">
        <f t="shared" si="38"/>
        <v>0.77800000000000002</v>
      </c>
      <c r="N120" s="3394"/>
    </row>
    <row r="121" spans="1:14" ht="13.5" thickBot="1">
      <c r="A121" s="3408" t="s">
        <v>3329</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8"/>
        <v>0.57150000000000001</v>
      </c>
      <c r="K121" s="3409">
        <f t="shared" si="38"/>
        <v>0.57150000000000001</v>
      </c>
      <c r="L121" s="3409">
        <f t="shared" si="38"/>
        <v>0.57150000000000001</v>
      </c>
      <c r="M121" s="3410">
        <f t="shared" si="38"/>
        <v>0.57150000000000001</v>
      </c>
      <c r="N121" s="3394"/>
    </row>
    <row r="122" spans="1:14">
      <c r="A122" s="3411" t="s">
        <v>2611</v>
      </c>
      <c r="B122" s="3384">
        <f>ROUND(0.9404-0.0106*B116,4)</f>
        <v>0.92979999999999996</v>
      </c>
      <c r="C122" s="3384">
        <f>B122</f>
        <v>0.92979999999999996</v>
      </c>
      <c r="D122" s="3384">
        <f>ROUND(0.8955-0.0135*B116,4)</f>
        <v>0.88200000000000001</v>
      </c>
      <c r="E122" s="3384">
        <f t="shared" ref="E122:H122" si="40">D122</f>
        <v>0.88200000000000001</v>
      </c>
      <c r="F122" s="3384">
        <f t="shared" si="40"/>
        <v>0.88200000000000001</v>
      </c>
      <c r="G122" s="3384">
        <f t="shared" si="40"/>
        <v>0.88200000000000001</v>
      </c>
      <c r="H122" s="3384">
        <f t="shared" si="40"/>
        <v>0.88200000000000001</v>
      </c>
      <c r="I122" s="3384">
        <f>ROUND(0.7632-0.0166*B116,4)</f>
        <v>0.74660000000000004</v>
      </c>
      <c r="J122" s="3384">
        <f t="shared" si="38"/>
        <v>0.74660000000000004</v>
      </c>
      <c r="K122" s="3384">
        <f t="shared" si="38"/>
        <v>0.74660000000000004</v>
      </c>
      <c r="L122" s="3384">
        <f t="shared" si="38"/>
        <v>0.74660000000000004</v>
      </c>
      <c r="M122" s="3407">
        <f t="shared" si="38"/>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1" priority="6" stopIfTrue="1" operator="notEqual">
      <formula>"——"</formula>
    </cfRule>
  </conditionalFormatting>
  <conditionalFormatting sqref="F61">
    <cfRule type="cellIs" dxfId="50" priority="5" stopIfTrue="1" operator="notEqual">
      <formula>"——"</formula>
    </cfRule>
  </conditionalFormatting>
  <conditionalFormatting sqref="F72">
    <cfRule type="cellIs" dxfId="49" priority="4" stopIfTrue="1" operator="notEqual">
      <formula>"——"</formula>
    </cfRule>
  </conditionalFormatting>
  <conditionalFormatting sqref="F83">
    <cfRule type="cellIs" dxfId="48" priority="3" stopIfTrue="1" operator="notEqual">
      <formula>"——"</formula>
    </cfRule>
  </conditionalFormatting>
  <conditionalFormatting sqref="H50:H58 H61:H69 H72:H80 H83:H91">
    <cfRule type="cellIs" dxfId="47" priority="2" operator="notEqual">
      <formula>"——"</formula>
    </cfRule>
  </conditionalFormatting>
  <conditionalFormatting sqref="H93:H101">
    <cfRule type="cellIs" dxfId="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122"/>
  <sheetViews>
    <sheetView view="pageBreakPreview" zoomScaleNormal="80" zoomScaleSheetLayoutView="100" workbookViewId="0">
      <selection activeCell="K34" sqref="K34:K35"/>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0</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t="e">
        <f>C30</f>
        <v>#DIV/0!</v>
      </c>
      <c r="C2" s="1995" t="s">
        <v>1931</v>
      </c>
      <c r="D2" s="1996" t="s">
        <v>1932</v>
      </c>
      <c r="E2" s="3418" t="s">
        <v>672</v>
      </c>
      <c r="F2" s="1996" t="s">
        <v>1933</v>
      </c>
      <c r="G2" s="1997">
        <f>IF(E2="商业",项目基本情况!B37,IF(E2="办公",项目基本情况!C37,IF(E2="住宅",项目基本情况!D37,IF(E2="工业",项目基本情况!E37,项目基本情况!F37))))</f>
        <v>0</v>
      </c>
      <c r="H2" s="1996" t="s">
        <v>1934</v>
      </c>
      <c r="I2" s="1997">
        <f>IF(E2="商业",项目基本情况!B38,IF(E2="办公",项目基本情况!C38,IF(E2="住宅",项目基本情况!D38,IF(E2="工业",项目基本情况!E38,项目基本情况!F38))))</f>
        <v>0</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0</v>
      </c>
      <c r="T2" s="3357" t="e">
        <f t="shared" ref="T2:T16" si="0">ROUND($C$5*$C$22*$C$23*$C$24*S2*$C$28,0)</f>
        <v>#DIV/0!</v>
      </c>
      <c r="U2" s="1209">
        <f>'数据-汇总表'!F20/2</f>
        <v>0</v>
      </c>
      <c r="V2" s="3357" t="e">
        <f>ROUND(T2*U2/10000,0)</f>
        <v>#DIV/0!</v>
      </c>
      <c r="W2" s="1212"/>
      <c r="X2" s="1212"/>
      <c r="Y2" s="1212"/>
      <c r="Z2" s="1212"/>
      <c r="AA2" s="1212"/>
      <c r="AB2" s="1212"/>
      <c r="AC2" s="1213"/>
      <c r="AD2" s="1214"/>
      <c r="AE2" s="1214"/>
      <c r="AF2" s="1214"/>
      <c r="AG2" s="1214"/>
      <c r="AH2" s="1214"/>
      <c r="AI2" s="1214"/>
      <c r="AJ2" s="1215"/>
    </row>
    <row r="3" spans="1:36" ht="15.75">
      <c r="A3" s="203" t="s">
        <v>1936</v>
      </c>
      <c r="B3" s="204" t="e">
        <f>ROUND(B2*10000/D1,0)</f>
        <v>#DIV/0!</v>
      </c>
      <c r="C3" s="1995" t="s">
        <v>1937</v>
      </c>
      <c r="D3" s="1996" t="s">
        <v>1938</v>
      </c>
      <c r="E3" s="3416" t="s">
        <v>2438</v>
      </c>
      <c r="F3" s="2000" t="s">
        <v>3457</v>
      </c>
      <c r="G3" s="748">
        <f>IF(F3="宗地容积率",'数据-汇总表'!I4,IF(F3="估价对象容积率",'数据-汇总表'!I6,'数据-汇总表'!I7))</f>
        <v>0.27</v>
      </c>
      <c r="H3" s="170" t="s">
        <v>1939</v>
      </c>
      <c r="I3" s="771">
        <v>1</v>
      </c>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0</v>
      </c>
      <c r="T3" s="3357" t="e">
        <f t="shared" si="0"/>
        <v>#DIV/0!</v>
      </c>
      <c r="U3" s="1209">
        <f>U2</f>
        <v>0</v>
      </c>
      <c r="V3" s="3357" t="e">
        <f t="shared" ref="V3:V16" si="1">ROUND(T3*U3/10000,0)</f>
        <v>#DIV/0!</v>
      </c>
      <c r="W3" s="1212"/>
      <c r="X3" s="1212"/>
      <c r="Y3" s="1212"/>
      <c r="Z3" s="1212"/>
      <c r="AA3" s="1212"/>
      <c r="AB3" s="1212"/>
      <c r="AC3" s="1213"/>
      <c r="AD3" s="1214"/>
      <c r="AE3" s="1214"/>
      <c r="AF3" s="1214"/>
      <c r="AG3" s="1214"/>
      <c r="AH3" s="1214"/>
      <c r="AI3" s="1214"/>
      <c r="AJ3" s="1215"/>
    </row>
    <row r="4" spans="1:36" ht="15.75">
      <c r="A4" s="3802"/>
      <c r="B4" s="3803"/>
      <c r="C4" s="3803"/>
      <c r="D4" s="3804"/>
      <c r="E4" s="3804"/>
      <c r="F4" s="3804"/>
      <c r="G4" s="3804"/>
      <c r="H4" s="3804"/>
      <c r="I4" s="3804"/>
      <c r="J4" s="3805"/>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v>
      </c>
      <c r="T4" s="3357" t="e">
        <f t="shared" si="0"/>
        <v>#DIV/0!</v>
      </c>
      <c r="U4" s="1209"/>
      <c r="V4" s="3357" t="e">
        <f t="shared" si="1"/>
        <v>#DIV/0!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t="e">
        <f>ROUND(IF(E2="商业",C6*C7*C17+C20,(IF(E2="住宅",C6*C13*C17+C20,IF(E2="办公",C6*C12*C17+C20,C6+C20)))),0)</f>
        <v>#DIV/0!</v>
      </c>
      <c r="D5" s="1335" t="e">
        <f>ROUND(C6*C17+C20,0)</f>
        <v>#DIV/0!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v>
      </c>
      <c r="T5" s="3357" t="e">
        <f t="shared" si="0"/>
        <v>#DIV/0!</v>
      </c>
      <c r="U5" s="1209"/>
      <c r="V5" s="3357" t="e">
        <f t="shared" si="1"/>
        <v>#DIV/0!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v>
      </c>
      <c r="T6" s="3357" t="e">
        <f t="shared" si="0"/>
        <v>#DIV/0!</v>
      </c>
      <c r="U6" s="1209"/>
      <c r="V6" s="3357" t="e">
        <f t="shared" si="1"/>
        <v>#DIV/0!</v>
      </c>
      <c r="W6" s="1212"/>
      <c r="X6" s="1212"/>
      <c r="Y6" s="1212"/>
      <c r="Z6" s="1212"/>
      <c r="AA6" s="1212"/>
      <c r="AB6" s="1212"/>
      <c r="AC6" s="2007"/>
      <c r="AD6" s="2008"/>
      <c r="AE6" s="2008"/>
      <c r="AF6" s="2008"/>
      <c r="AG6" s="2008"/>
      <c r="AH6" s="2008"/>
      <c r="AI6" s="2008"/>
      <c r="AJ6" s="2009"/>
    </row>
    <row r="7" spans="1:36" ht="24.75" thickBot="1">
      <c r="A7" s="3300" t="s">
        <v>3236</v>
      </c>
      <c r="B7" s="3494"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t="e">
        <f t="shared" si="0"/>
        <v>#DIV/0!</v>
      </c>
      <c r="U7" s="1209"/>
      <c r="V7" s="3357" t="e">
        <f t="shared" si="1"/>
        <v>#DIV/0!</v>
      </c>
      <c r="W7" s="3502" t="s">
        <v>1951</v>
      </c>
      <c r="X7" s="1210">
        <f>G2</f>
        <v>0</v>
      </c>
      <c r="Y7" s="1210" t="s">
        <v>1952</v>
      </c>
      <c r="Z7" s="1211">
        <f>G3</f>
        <v>0.27</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t="e">
        <f t="shared" si="0"/>
        <v>#DIV/0!</v>
      </c>
      <c r="U8" s="1209"/>
      <c r="V8" s="3357" t="e">
        <f t="shared" si="1"/>
        <v>#DIV/0!</v>
      </c>
      <c r="W8" s="3799" t="s">
        <v>1956</v>
      </c>
      <c r="X8" s="3800"/>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t="e">
        <f t="shared" si="0"/>
        <v>#DIV/0!</v>
      </c>
      <c r="U9" s="1209"/>
      <c r="V9" s="3357" t="e">
        <f t="shared" si="1"/>
        <v>#DIV/0!</v>
      </c>
      <c r="W9" s="3801"/>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t="e">
        <f t="shared" si="0"/>
        <v>#DIV/0!</v>
      </c>
      <c r="U10" s="1209"/>
      <c r="V10" s="3357" t="e">
        <f t="shared" si="1"/>
        <v>#DIV/0!</v>
      </c>
      <c r="W10" s="380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t="e">
        <f t="shared" si="0"/>
        <v>#DIV/0!</v>
      </c>
      <c r="U11" s="1209"/>
      <c r="V11" s="3357" t="e">
        <f t="shared" si="1"/>
        <v>#DIV/0!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t="e">
        <f t="shared" si="0"/>
        <v>#DIV/0!</v>
      </c>
      <c r="U12" s="1209"/>
      <c r="V12" s="3357" t="e">
        <f t="shared" si="1"/>
        <v>#DIV/0!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t="e">
        <f t="shared" si="0"/>
        <v>#DIV/0!</v>
      </c>
      <c r="U13" s="1209"/>
      <c r="V13" s="3357" t="e">
        <f t="shared" si="1"/>
        <v>#DIV/0!</v>
      </c>
      <c r="W13" s="1212"/>
      <c r="X13" s="1212"/>
      <c r="Y13" s="1212"/>
      <c r="Z13" s="1212"/>
      <c r="AA13" s="1212"/>
      <c r="AB13" s="1212"/>
      <c r="AC13" s="1213"/>
      <c r="AD13" s="2785"/>
      <c r="AE13" s="2785"/>
      <c r="AF13" s="2785"/>
      <c r="AG13" s="2785"/>
      <c r="AH13" s="2785"/>
      <c r="AI13" s="2785"/>
      <c r="AJ13" s="2786"/>
    </row>
    <row r="14" spans="1:36" ht="15">
      <c r="A14" s="3294"/>
      <c r="B14" s="3492"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t="e">
        <f t="shared" si="0"/>
        <v>#DIV/0!</v>
      </c>
      <c r="U14" s="1209"/>
      <c r="V14" s="3357" t="e">
        <f t="shared" si="1"/>
        <v>#DIV/0!</v>
      </c>
      <c r="W14" s="1212"/>
      <c r="X14" s="1212"/>
      <c r="Y14" s="1212"/>
      <c r="Z14" s="1212"/>
      <c r="AA14" s="1212"/>
      <c r="AB14" s="1212"/>
      <c r="AC14" s="1213"/>
      <c r="AD14" s="2785"/>
      <c r="AE14" s="2785"/>
      <c r="AF14" s="2785"/>
      <c r="AG14" s="2785"/>
      <c r="AH14" s="2785"/>
      <c r="AI14" s="2785"/>
      <c r="AJ14" s="2786"/>
    </row>
    <row r="15" spans="1:36" ht="15">
      <c r="A15" s="3294"/>
      <c r="B15" s="3493"/>
      <c r="C15" s="2039"/>
      <c r="D15" s="2040"/>
      <c r="E15" s="2041"/>
      <c r="F15" s="3309" t="s">
        <v>3243</v>
      </c>
      <c r="G15" s="3310"/>
      <c r="H15" s="3311"/>
      <c r="I15" s="3312"/>
      <c r="J15" s="3313"/>
      <c r="K15" s="1115"/>
      <c r="L15" s="1115"/>
      <c r="M15" s="1115"/>
      <c r="N15" s="1115"/>
      <c r="O15" s="1115"/>
      <c r="P15" s="1115"/>
      <c r="Q15" s="1115"/>
      <c r="R15" s="1208">
        <v>14</v>
      </c>
      <c r="S15" s="1209"/>
      <c r="T15" s="3357" t="e">
        <f t="shared" si="0"/>
        <v>#DIV/0!</v>
      </c>
      <c r="U15" s="1209"/>
      <c r="V15" s="3357" t="e">
        <f t="shared" si="1"/>
        <v>#DIV/0!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t="e">
        <f t="shared" si="0"/>
        <v>#DIV/0!</v>
      </c>
      <c r="U16" s="1209"/>
      <c r="V16" s="3357" t="e">
        <f t="shared" si="1"/>
        <v>#DIV/0!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91"/>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6" t="s">
        <v>3253</v>
      </c>
      <c r="B20" s="167" t="s">
        <v>1990</v>
      </c>
      <c r="C20" s="3321" t="e">
        <f>ROUND(IF(F21="与级别开发程度一致",0,(G21-E21)/C21),0)</f>
        <v>#DIV/0!</v>
      </c>
      <c r="D20" s="3337" t="s">
        <v>1994</v>
      </c>
      <c r="E20" s="3338"/>
      <c r="F20" s="3812" t="s">
        <v>1991</v>
      </c>
      <c r="G20" s="3813"/>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7"/>
      <c r="B21" s="2160" t="s">
        <v>1993</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t="s">
        <v>3470</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1998</v>
      </c>
      <c r="E23" s="757">
        <v>44197</v>
      </c>
      <c r="F23" s="2050" t="s">
        <v>1999</v>
      </c>
      <c r="G23" s="758">
        <f>'数据-取费表'!B2</f>
        <v>45467</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t="e">
        <f>ROUND(POWER(1+G24,J24-I24)*(POWER(1+G24,I24)-1)/(POWER(1+G24,J24)-1),4)</f>
        <v>#DIV/0!</v>
      </c>
      <c r="D24" s="2056" t="s">
        <v>2003</v>
      </c>
      <c r="E24" s="1331">
        <f>存贷款利率!E24/100</f>
        <v>4.3499999999999997E-2</v>
      </c>
      <c r="F24" s="2056" t="s">
        <v>1995</v>
      </c>
      <c r="G24" s="764">
        <f>SUMIF(M30:Q30,E2,M33:Q33)</f>
        <v>5.5E-2</v>
      </c>
      <c r="H24" s="2056" t="s">
        <v>2004</v>
      </c>
      <c r="I24" s="765" t="e">
        <f>SUMIF('数据-取费表'!C6:C15,E2,'数据-取费表'!F6:F15)/COUNTIF('数据-取费表'!C6:C15,E2)</f>
        <v>#DIV/0!</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500">
        <f>IF(B25="容积率修正",IF(G3&lt;10,D26,J26),C27)</f>
        <v>0</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99">
        <f>IF(E26=G26,F26,IF(G3&lt;10,ROUND(F26+(H26-F26)*(G3-E26)/(G26-E26),4),"——"))</f>
        <v>0</v>
      </c>
      <c r="E26" s="748">
        <f>ROUNDDOWN(G3,1)</f>
        <v>0.2</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0.30000000000000004</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t="e">
        <f>IF(B25="容积率修正",E33+SUM(E37:E42),SUM(V2:V16)+SUM(E37:E42))</f>
        <v>#DIV/0!</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t="e">
        <f>E34+SUM(I37:I42)</f>
        <v>#DIV/0!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t="e">
        <f>ROUND(C5*C22*C23*C24*C25*C28,0)</f>
        <v>#DIV/0!</v>
      </c>
      <c r="D33" s="2094">
        <f>'数据-汇总表'!F20</f>
        <v>0</v>
      </c>
      <c r="E33" s="769" t="e">
        <f>ROUND(C33*D33/10000,0)</f>
        <v>#DIV/0!</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t="e">
        <f>ROUND(IF(E2="工业",C33*M42,IF(B25="楼层修正",SUM(V2:V16)*M41*10000/D34,C33*M41)),0)</f>
        <v>#DIV/0!</v>
      </c>
      <c r="D34" s="2099"/>
      <c r="E34" s="769" t="e">
        <f>ROUND(IF(B25="楼层修正",SUM(V2:V16)*M40,C34*D34/10000),0)</f>
        <v>#DIV/0!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0"/>
      <c r="B37" s="2109" t="s">
        <v>2032</v>
      </c>
      <c r="C37" s="175" t="e">
        <f>ROUND(D5*C22*C23*C24*C28*F37,0)</f>
        <v>#DIV/0!</v>
      </c>
      <c r="D37" s="2094">
        <f>'数据-基础表'!O15</f>
        <v>0</v>
      </c>
      <c r="E37" s="171" t="e">
        <f>ROUND(C37*D37/10000,0)</f>
        <v>#DIV/0!</v>
      </c>
      <c r="F37" s="171">
        <f>SUMIF(修正!A57:A68,G2,修正!B57:B68)</f>
        <v>0</v>
      </c>
      <c r="G37" s="171" t="e">
        <f>ROUND(IF(E2="工业",C37*$M$42,C37*$M$41),0)</f>
        <v>#DIV/0!</v>
      </c>
      <c r="H37" s="171">
        <f>D37</f>
        <v>0</v>
      </c>
      <c r="I37" s="171" t="e">
        <f>ROUND(G37*H37/10000,0)</f>
        <v>#DIV/0!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1"/>
      <c r="B38" s="2037" t="s">
        <v>2033</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505"/>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1"/>
      <c r="B39" s="2037" t="s">
        <v>3257</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5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t="e">
        <f>ROUND(D5*C22*C23*C44*C28*F42,0)</f>
        <v>#DIV/0!</v>
      </c>
      <c r="D42" s="2099"/>
      <c r="E42" s="187" t="e">
        <f t="shared" si="4"/>
        <v>#DIV/0!</v>
      </c>
      <c r="F42" s="763">
        <f>SUMIF(修正!A57:A68,G2,修正!G57:G68)</f>
        <v>0</v>
      </c>
      <c r="G42" s="187" t="e">
        <f>ROUND(IF(E2="工业",C42*$M$42,C42*$M$41),0)</f>
        <v>#DIV/0!</v>
      </c>
      <c r="H42" s="187">
        <f t="shared" si="5"/>
        <v>0</v>
      </c>
      <c r="I42" s="187" t="e">
        <f t="shared" si="6"/>
        <v>#DIV/0!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t="e">
        <f>ROUND(POWER(1+E44,H44-G44)*(POWER(1+E44,G44)-1)/(POWER(1+E44,H44)-1),4)</f>
        <v>#VALUE!</v>
      </c>
      <c r="D44" s="171" t="s">
        <v>1995</v>
      </c>
      <c r="E44" s="2149">
        <f>G24</f>
        <v>5.5E-2</v>
      </c>
      <c r="F44" s="171" t="s">
        <v>2004</v>
      </c>
      <c r="G44" s="183" t="str">
        <f>项目基本情况!F15</f>
        <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3400</v>
      </c>
      <c r="D50" s="1061">
        <f t="shared" ref="D50:D58" si="7">SUMIF($J$49:$N$49,C50,J50:N50)</f>
        <v>0</v>
      </c>
      <c r="E50" s="740">
        <f>ROUND(SUM(D50:D58),4)</f>
        <v>0</v>
      </c>
      <c r="F50" s="1810">
        <f>IF(E2="商业",SUMIF(L1:L12,G2,N1:N12),"——")</f>
        <v>0</v>
      </c>
      <c r="G50" s="1059">
        <f t="shared" ref="G50:G58" si="8">H50</f>
        <v>0</v>
      </c>
      <c r="H50" s="1062">
        <f t="shared" ref="H50:H58" si="9">IFERROR(ROUNDDOWN($F$50*I50/2,4),"——")</f>
        <v>0</v>
      </c>
      <c r="I50" s="3363">
        <v>0.3</v>
      </c>
      <c r="J50" s="1060">
        <f t="shared" ref="J50:J58" si="10">K50+$G50</f>
        <v>0</v>
      </c>
      <c r="K50" s="1060">
        <f t="shared" ref="K50:K58" si="11">$L50+$G50</f>
        <v>0</v>
      </c>
      <c r="L50" s="1060">
        <v>0</v>
      </c>
      <c r="M50" s="1060">
        <f t="shared" ref="M50:N58" si="12">L50-$G50</f>
        <v>0</v>
      </c>
      <c r="N50" s="1060">
        <f t="shared" si="12"/>
        <v>0</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0</v>
      </c>
      <c r="E51" s="741"/>
      <c r="F51" s="1810"/>
      <c r="G51" s="1059">
        <f t="shared" si="8"/>
        <v>0</v>
      </c>
      <c r="H51" s="1062">
        <f t="shared" si="9"/>
        <v>0</v>
      </c>
      <c r="I51" s="3363">
        <v>0.22</v>
      </c>
      <c r="J51" s="1060">
        <f t="shared" si="10"/>
        <v>0</v>
      </c>
      <c r="K51" s="1060">
        <f t="shared" si="11"/>
        <v>0</v>
      </c>
      <c r="L51" s="1060">
        <v>0</v>
      </c>
      <c r="M51" s="1060">
        <f t="shared" si="12"/>
        <v>0</v>
      </c>
      <c r="N51" s="1060">
        <f t="shared" si="12"/>
        <v>0</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0</v>
      </c>
      <c r="E52" s="741"/>
      <c r="F52" s="1810"/>
      <c r="G52" s="1059">
        <f t="shared" si="8"/>
        <v>0</v>
      </c>
      <c r="H52" s="1062">
        <f t="shared" si="9"/>
        <v>0</v>
      </c>
      <c r="I52" s="3363">
        <v>0.12</v>
      </c>
      <c r="J52" s="1060">
        <f t="shared" si="10"/>
        <v>0</v>
      </c>
      <c r="K52" s="1060">
        <f t="shared" si="11"/>
        <v>0</v>
      </c>
      <c r="L52" s="1060">
        <v>0</v>
      </c>
      <c r="M52" s="1060">
        <f t="shared" si="12"/>
        <v>0</v>
      </c>
      <c r="N52" s="1060">
        <f t="shared" si="12"/>
        <v>0</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0</v>
      </c>
      <c r="E53" s="741"/>
      <c r="F53" s="1810"/>
      <c r="G53" s="1059">
        <f t="shared" si="8"/>
        <v>0</v>
      </c>
      <c r="H53" s="1062">
        <f t="shared" si="9"/>
        <v>0</v>
      </c>
      <c r="I53" s="3363">
        <v>0.05</v>
      </c>
      <c r="J53" s="1060">
        <f t="shared" si="10"/>
        <v>0</v>
      </c>
      <c r="K53" s="1060">
        <f t="shared" si="11"/>
        <v>0</v>
      </c>
      <c r="L53" s="1060">
        <v>0</v>
      </c>
      <c r="M53" s="1060">
        <f t="shared" si="12"/>
        <v>0</v>
      </c>
      <c r="N53" s="1060">
        <f t="shared" si="12"/>
        <v>0</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0</v>
      </c>
      <c r="E54" s="741"/>
      <c r="F54" s="1810"/>
      <c r="G54" s="1059">
        <f t="shared" si="8"/>
        <v>0</v>
      </c>
      <c r="H54" s="1062">
        <f t="shared" si="9"/>
        <v>0</v>
      </c>
      <c r="I54" s="3363">
        <v>0.08</v>
      </c>
      <c r="J54" s="1060">
        <f t="shared" si="10"/>
        <v>0</v>
      </c>
      <c r="K54" s="1060">
        <f t="shared" si="11"/>
        <v>0</v>
      </c>
      <c r="L54" s="1060">
        <v>0</v>
      </c>
      <c r="M54" s="1060">
        <f t="shared" si="12"/>
        <v>0</v>
      </c>
      <c r="N54" s="1060">
        <f t="shared" si="12"/>
        <v>0</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0</v>
      </c>
      <c r="E55" s="741"/>
      <c r="F55" s="1810"/>
      <c r="G55" s="1059">
        <f t="shared" si="8"/>
        <v>0</v>
      </c>
      <c r="H55" s="1062">
        <f t="shared" si="9"/>
        <v>0</v>
      </c>
      <c r="I55" s="3363">
        <v>0.05</v>
      </c>
      <c r="J55" s="1060">
        <f t="shared" si="10"/>
        <v>0</v>
      </c>
      <c r="K55" s="1060">
        <f t="shared" si="11"/>
        <v>0</v>
      </c>
      <c r="L55" s="1060">
        <v>0</v>
      </c>
      <c r="M55" s="1060">
        <f t="shared" si="12"/>
        <v>0</v>
      </c>
      <c r="N55" s="1060">
        <f t="shared" si="12"/>
        <v>0</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0</v>
      </c>
      <c r="E56" s="741"/>
      <c r="F56" s="1810"/>
      <c r="G56" s="1059">
        <f t="shared" si="8"/>
        <v>0</v>
      </c>
      <c r="H56" s="1062">
        <f t="shared" si="9"/>
        <v>0</v>
      </c>
      <c r="I56" s="3363">
        <v>0.05</v>
      </c>
      <c r="J56" s="1060">
        <f t="shared" si="10"/>
        <v>0</v>
      </c>
      <c r="K56" s="1060">
        <f t="shared" si="11"/>
        <v>0</v>
      </c>
      <c r="L56" s="1060">
        <v>0</v>
      </c>
      <c r="M56" s="1060">
        <f t="shared" si="12"/>
        <v>0</v>
      </c>
      <c r="N56" s="1060">
        <f t="shared" si="12"/>
        <v>0</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0</v>
      </c>
      <c r="E57" s="741"/>
      <c r="F57" s="1810"/>
      <c r="G57" s="1059">
        <f t="shared" si="8"/>
        <v>0</v>
      </c>
      <c r="H57" s="1062">
        <f t="shared" si="9"/>
        <v>0</v>
      </c>
      <c r="I57" s="3363">
        <v>0.08</v>
      </c>
      <c r="J57" s="1060">
        <f t="shared" si="10"/>
        <v>0</v>
      </c>
      <c r="K57" s="1060">
        <f t="shared" si="11"/>
        <v>0</v>
      </c>
      <c r="L57" s="1060">
        <v>0</v>
      </c>
      <c r="M57" s="1060">
        <f t="shared" si="12"/>
        <v>0</v>
      </c>
      <c r="N57" s="1060">
        <f t="shared" si="12"/>
        <v>0</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0</v>
      </c>
      <c r="E58" s="742"/>
      <c r="F58" s="1810"/>
      <c r="G58" s="1059">
        <f t="shared" si="8"/>
        <v>0</v>
      </c>
      <c r="H58" s="1062">
        <f t="shared" si="9"/>
        <v>0</v>
      </c>
      <c r="I58" s="3364">
        <v>0.05</v>
      </c>
      <c r="J58" s="1060">
        <f t="shared" si="10"/>
        <v>0</v>
      </c>
      <c r="K58" s="1060">
        <f t="shared" si="11"/>
        <v>0</v>
      </c>
      <c r="L58" s="1060">
        <v>0</v>
      </c>
      <c r="M58" s="1060">
        <f t="shared" si="12"/>
        <v>0</v>
      </c>
      <c r="N58" s="1060">
        <f t="shared" si="12"/>
        <v>0</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3268</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3271</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3272</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3273</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3274</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3276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3277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8" t="s">
        <v>3292</v>
      </c>
      <c r="B103" s="3808"/>
      <c r="C103" s="3808"/>
      <c r="D103" s="3808"/>
      <c r="E103" s="3808"/>
      <c r="F103" s="3808"/>
      <c r="G103" s="3808"/>
      <c r="H103" s="3808"/>
      <c r="I103" s="3808"/>
      <c r="J103" s="3808"/>
      <c r="K103" s="3503"/>
      <c r="L103" s="3503"/>
      <c r="M103" s="3503"/>
      <c r="N103" s="3503"/>
    </row>
    <row r="104" spans="1:14">
      <c r="A104" s="3809" t="s">
        <v>3293</v>
      </c>
      <c r="B104" s="3809" t="s">
        <v>3294</v>
      </c>
      <c r="C104" s="3387" t="s">
        <v>3295</v>
      </c>
      <c r="D104" s="3388"/>
      <c r="E104" s="3388"/>
      <c r="F104" s="3388"/>
      <c r="G104" s="3388"/>
      <c r="H104" s="3388"/>
      <c r="I104" s="3388"/>
      <c r="J104" s="3389"/>
      <c r="K104" s="3390"/>
      <c r="L104" s="3390"/>
      <c r="M104" s="3390"/>
      <c r="N104" s="3390"/>
    </row>
    <row r="105" spans="1:14">
      <c r="A105" s="3809"/>
      <c r="B105" s="3809"/>
      <c r="C105" s="3504" t="s">
        <v>3296</v>
      </c>
      <c r="D105" s="3504" t="s">
        <v>3297</v>
      </c>
      <c r="E105" s="3504" t="s">
        <v>3298</v>
      </c>
      <c r="F105" s="3504" t="s">
        <v>3299</v>
      </c>
      <c r="G105" s="3504" t="s">
        <v>3300</v>
      </c>
      <c r="H105" s="3504" t="s">
        <v>3301</v>
      </c>
      <c r="I105" s="3504" t="s">
        <v>3302</v>
      </c>
      <c r="J105" s="3504" t="s">
        <v>3303</v>
      </c>
      <c r="K105" s="3504" t="s">
        <v>3304</v>
      </c>
      <c r="L105" s="3504" t="s">
        <v>3305</v>
      </c>
      <c r="M105" s="3504" t="s">
        <v>3306</v>
      </c>
      <c r="N105" s="3504" t="s">
        <v>3307</v>
      </c>
    </row>
    <row r="106" spans="1:14">
      <c r="A106" s="3795" t="s">
        <v>3308</v>
      </c>
      <c r="B106" s="3504">
        <v>1</v>
      </c>
      <c r="C106" s="3504">
        <v>1.5206</v>
      </c>
      <c r="D106" s="3504">
        <v>1.5206</v>
      </c>
      <c r="E106" s="3504">
        <v>1.5019</v>
      </c>
      <c r="F106" s="3504">
        <v>1.5019</v>
      </c>
      <c r="G106" s="3504">
        <v>1.5019</v>
      </c>
      <c r="H106" s="3504">
        <v>1.5019</v>
      </c>
      <c r="I106" s="3504">
        <v>1.5019</v>
      </c>
      <c r="J106" s="3504">
        <v>1.5418000000000001</v>
      </c>
      <c r="K106" s="3504">
        <v>1.5418000000000001</v>
      </c>
      <c r="L106" s="3504">
        <v>1.5418000000000001</v>
      </c>
      <c r="M106" s="3504">
        <v>1.5418000000000001</v>
      </c>
      <c r="N106" s="3504">
        <v>1.5418000000000001</v>
      </c>
    </row>
    <row r="107" spans="1:14">
      <c r="A107" s="3796"/>
      <c r="B107" s="3504">
        <v>2</v>
      </c>
      <c r="C107" s="3504">
        <v>1.2072000000000001</v>
      </c>
      <c r="D107" s="3504">
        <v>1.2072000000000001</v>
      </c>
      <c r="E107" s="3504">
        <v>1.1838</v>
      </c>
      <c r="F107" s="3504">
        <v>1.1838</v>
      </c>
      <c r="G107" s="3504">
        <v>1.1838</v>
      </c>
      <c r="H107" s="3504">
        <v>1.1838</v>
      </c>
      <c r="I107" s="3504">
        <v>1.1838</v>
      </c>
      <c r="J107" s="3504">
        <v>1.1883999999999999</v>
      </c>
      <c r="K107" s="3504">
        <v>1.1883999999999999</v>
      </c>
      <c r="L107" s="3504">
        <v>1.1883999999999999</v>
      </c>
      <c r="M107" s="3504">
        <v>1.1883999999999999</v>
      </c>
      <c r="N107" s="3504">
        <v>1.1883999999999999</v>
      </c>
    </row>
    <row r="108" spans="1:14">
      <c r="A108" s="3796"/>
      <c r="B108" s="3504">
        <v>3</v>
      </c>
      <c r="C108" s="3504">
        <v>1.0430999999999999</v>
      </c>
      <c r="D108" s="3504">
        <v>1.0430999999999999</v>
      </c>
      <c r="E108" s="3504">
        <v>1.0004999999999999</v>
      </c>
      <c r="F108" s="3504">
        <v>1.0004999999999999</v>
      </c>
      <c r="G108" s="3504">
        <v>1.0004999999999999</v>
      </c>
      <c r="H108" s="3504">
        <v>1.0004999999999999</v>
      </c>
      <c r="I108" s="3504">
        <v>1.0004999999999999</v>
      </c>
      <c r="J108" s="3504">
        <v>0.96940000000000004</v>
      </c>
      <c r="K108" s="3504">
        <v>0.96940000000000004</v>
      </c>
      <c r="L108" s="3504">
        <v>0.96940000000000004</v>
      </c>
      <c r="M108" s="3504">
        <v>0.96940000000000004</v>
      </c>
      <c r="N108" s="3504">
        <v>0.96940000000000004</v>
      </c>
    </row>
    <row r="109" spans="1:14">
      <c r="A109" s="3796"/>
      <c r="B109" s="3504">
        <v>4</v>
      </c>
      <c r="C109" s="3504">
        <v>0.94389999999999996</v>
      </c>
      <c r="D109" s="3504">
        <v>0.94389999999999996</v>
      </c>
      <c r="E109" s="3504">
        <v>0.88239999999999996</v>
      </c>
      <c r="F109" s="3504">
        <v>0.88239999999999996</v>
      </c>
      <c r="G109" s="3504">
        <v>0.88239999999999996</v>
      </c>
      <c r="H109" s="3504">
        <v>0.88239999999999996</v>
      </c>
      <c r="I109" s="3504">
        <v>0.88239999999999996</v>
      </c>
      <c r="J109" s="3504">
        <v>0.82299999999999995</v>
      </c>
      <c r="K109" s="3504">
        <v>0.82299999999999995</v>
      </c>
      <c r="L109" s="3504">
        <v>0.82299999999999995</v>
      </c>
      <c r="M109" s="3504">
        <v>0.82299999999999995</v>
      </c>
      <c r="N109" s="3504">
        <v>0.82299999999999995</v>
      </c>
    </row>
    <row r="110" spans="1:14">
      <c r="A110" s="3796"/>
      <c r="B110" s="3504">
        <v>5</v>
      </c>
      <c r="C110" s="3504">
        <v>0.89959999999999996</v>
      </c>
      <c r="D110" s="3504">
        <v>0.89959999999999996</v>
      </c>
      <c r="E110" s="3504">
        <v>0.84799999999999998</v>
      </c>
      <c r="F110" s="3504">
        <v>0.84799999999999998</v>
      </c>
      <c r="G110" s="3504">
        <v>0.84799999999999998</v>
      </c>
      <c r="H110" s="3504">
        <v>0.84799999999999998</v>
      </c>
      <c r="I110" s="3504">
        <v>0.84799999999999998</v>
      </c>
      <c r="J110" s="3504">
        <v>0.74980000000000002</v>
      </c>
      <c r="K110" s="3504">
        <v>0.74980000000000002</v>
      </c>
      <c r="L110" s="3504">
        <v>0.74980000000000002</v>
      </c>
      <c r="M110" s="3504">
        <v>0.74980000000000002</v>
      </c>
      <c r="N110" s="3504">
        <v>0.74980000000000002</v>
      </c>
    </row>
    <row r="111" spans="1:14">
      <c r="A111" s="3796"/>
      <c r="B111" s="3504"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7"/>
      <c r="B112" s="3504">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8" t="s">
        <v>3309</v>
      </c>
      <c r="B113" s="3798"/>
      <c r="C113" s="3798"/>
      <c r="D113" s="3798"/>
      <c r="E113" s="3798"/>
      <c r="F113" s="3798"/>
      <c r="G113" s="3798"/>
      <c r="H113" s="3798"/>
      <c r="I113" s="3798"/>
      <c r="J113" s="3798"/>
      <c r="K113" s="3501"/>
      <c r="L113" s="3501"/>
      <c r="M113" s="3501"/>
      <c r="N113" s="3501"/>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0.27</v>
      </c>
      <c r="C116" s="3396" t="s">
        <v>3311</v>
      </c>
      <c r="D116" s="3397">
        <f>SUMPRODUCT((A118:A122=F116)*(B117:M117=H116)*B118:M122)</f>
        <v>0</v>
      </c>
      <c r="E116" s="1996" t="s">
        <v>3312</v>
      </c>
      <c r="F116" s="3398" t="str">
        <f>E2</f>
        <v>商业</v>
      </c>
      <c r="G116" s="1996" t="s">
        <v>3313</v>
      </c>
      <c r="H116" s="3398">
        <f>G2</f>
        <v>0</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0.99380000000000002</v>
      </c>
      <c r="C118" s="3384">
        <f>B118</f>
        <v>0.99380000000000002</v>
      </c>
      <c r="D118" s="3384">
        <f>ROUND(0.949-0.014*B116,4)</f>
        <v>0.94520000000000004</v>
      </c>
      <c r="E118" s="3384">
        <f>D118</f>
        <v>0.94520000000000004</v>
      </c>
      <c r="F118" s="3384">
        <f>E118</f>
        <v>0.94520000000000004</v>
      </c>
      <c r="G118" s="3384">
        <f>F118</f>
        <v>0.94520000000000004</v>
      </c>
      <c r="H118" s="3384">
        <f>G118</f>
        <v>0.94520000000000004</v>
      </c>
      <c r="I118" s="3384">
        <f>ROUND(0.8486-0.018*B116,4)</f>
        <v>0.84370000000000001</v>
      </c>
      <c r="J118" s="3384">
        <f t="shared" ref="J118:M122" si="37">I118</f>
        <v>0.84370000000000001</v>
      </c>
      <c r="K118" s="3384">
        <f t="shared" si="37"/>
        <v>0.84370000000000001</v>
      </c>
      <c r="L118" s="3384">
        <f t="shared" si="37"/>
        <v>0.84370000000000001</v>
      </c>
      <c r="M118" s="3407">
        <f t="shared" si="37"/>
        <v>0.84370000000000001</v>
      </c>
      <c r="N118" s="3394"/>
    </row>
    <row r="119" spans="1:14">
      <c r="A119" s="3406" t="s">
        <v>3327</v>
      </c>
      <c r="B119" s="3384">
        <f>ROUND(0.993-0.0112*B116,4)</f>
        <v>0.99</v>
      </c>
      <c r="C119" s="3384">
        <f>B119</f>
        <v>0.99</v>
      </c>
      <c r="D119" s="3384">
        <f>ROUND(0.9415-0.0142*B116,4)</f>
        <v>0.93769999999999998</v>
      </c>
      <c r="E119" s="3384">
        <f t="shared" ref="E119:H120" si="38">D119</f>
        <v>0.93769999999999998</v>
      </c>
      <c r="F119" s="3384">
        <f t="shared" si="38"/>
        <v>0.93769999999999998</v>
      </c>
      <c r="G119" s="3384">
        <f t="shared" si="38"/>
        <v>0.93769999999999998</v>
      </c>
      <c r="H119" s="3384">
        <f t="shared" si="38"/>
        <v>0.93769999999999998</v>
      </c>
      <c r="I119" s="3384">
        <f>ROUND(0.838-0.0182*B116,4)</f>
        <v>0.83309999999999995</v>
      </c>
      <c r="J119" s="3384">
        <f t="shared" si="37"/>
        <v>0.83309999999999995</v>
      </c>
      <c r="K119" s="3384">
        <f t="shared" si="37"/>
        <v>0.83309999999999995</v>
      </c>
      <c r="L119" s="3384">
        <f t="shared" si="37"/>
        <v>0.83309999999999995</v>
      </c>
      <c r="M119" s="3407">
        <f t="shared" si="37"/>
        <v>0.83309999999999995</v>
      </c>
      <c r="N119" s="3394"/>
    </row>
    <row r="120" spans="1:14">
      <c r="A120" s="3406" t="s">
        <v>3328</v>
      </c>
      <c r="B120" s="3384">
        <f>ROUND(0.9448-0.0115*B116,4)</f>
        <v>0.94169999999999998</v>
      </c>
      <c r="C120" s="3384">
        <f>B120</f>
        <v>0.94169999999999998</v>
      </c>
      <c r="D120" s="3384">
        <f>ROUND(0.937-0.0145*B116,4)</f>
        <v>0.93310000000000004</v>
      </c>
      <c r="E120" s="3384">
        <f t="shared" si="38"/>
        <v>0.93310000000000004</v>
      </c>
      <c r="F120" s="3384">
        <f t="shared" si="38"/>
        <v>0.93310000000000004</v>
      </c>
      <c r="G120" s="3384">
        <f t="shared" si="38"/>
        <v>0.93310000000000004</v>
      </c>
      <c r="H120" s="3384">
        <f t="shared" si="38"/>
        <v>0.93310000000000004</v>
      </c>
      <c r="I120" s="3384">
        <f>ROUND(0.7965-0.0185*B116,4)</f>
        <v>0.79149999999999998</v>
      </c>
      <c r="J120" s="3384">
        <f t="shared" si="37"/>
        <v>0.79149999999999998</v>
      </c>
      <c r="K120" s="3384">
        <f t="shared" si="37"/>
        <v>0.79149999999999998</v>
      </c>
      <c r="L120" s="3384">
        <f t="shared" si="37"/>
        <v>0.79149999999999998</v>
      </c>
      <c r="M120" s="3407">
        <f t="shared" si="37"/>
        <v>0.79149999999999998</v>
      </c>
      <c r="N120" s="3394"/>
    </row>
    <row r="121" spans="1:14" ht="13.5" thickBot="1">
      <c r="A121" s="3408" t="s">
        <v>3329</v>
      </c>
      <c r="B121" s="3409">
        <f>ROUND(0.7836-0.012*B116,4)</f>
        <v>0.78039999999999998</v>
      </c>
      <c r="C121" s="3409">
        <f>B121</f>
        <v>0.78039999999999998</v>
      </c>
      <c r="D121" s="3409">
        <f>ROUND(0.753-0.015*B116,4)</f>
        <v>0.749</v>
      </c>
      <c r="E121" s="3409">
        <f>D121</f>
        <v>0.749</v>
      </c>
      <c r="F121" s="3409">
        <f>E121</f>
        <v>0.749</v>
      </c>
      <c r="G121" s="3409">
        <f>ROUND(0.6612-0.018*B116,4)</f>
        <v>0.65629999999999999</v>
      </c>
      <c r="H121" s="3409">
        <f>G121</f>
        <v>0.65629999999999999</v>
      </c>
      <c r="I121" s="3409">
        <f>ROUND(0.5905-0.019*B116,4)</f>
        <v>0.58540000000000003</v>
      </c>
      <c r="J121" s="3409">
        <f t="shared" si="37"/>
        <v>0.58540000000000003</v>
      </c>
      <c r="K121" s="3409">
        <f t="shared" si="37"/>
        <v>0.58540000000000003</v>
      </c>
      <c r="L121" s="3409">
        <f t="shared" si="37"/>
        <v>0.58540000000000003</v>
      </c>
      <c r="M121" s="3410">
        <f t="shared" si="37"/>
        <v>0.58540000000000003</v>
      </c>
      <c r="N121" s="3394"/>
    </row>
    <row r="122" spans="1:14">
      <c r="A122" s="3411" t="s">
        <v>2611</v>
      </c>
      <c r="B122" s="3384">
        <f>ROUND(0.9404-0.0106*B116,4)</f>
        <v>0.9375</v>
      </c>
      <c r="C122" s="3384">
        <f>B122</f>
        <v>0.9375</v>
      </c>
      <c r="D122" s="3384">
        <f>ROUND(0.8955-0.0135*B116,4)</f>
        <v>0.89190000000000003</v>
      </c>
      <c r="E122" s="3384">
        <f t="shared" ref="E122:H122" si="39">D122</f>
        <v>0.89190000000000003</v>
      </c>
      <c r="F122" s="3384">
        <f t="shared" si="39"/>
        <v>0.89190000000000003</v>
      </c>
      <c r="G122" s="3384">
        <f t="shared" si="39"/>
        <v>0.89190000000000003</v>
      </c>
      <c r="H122" s="3384">
        <f t="shared" si="39"/>
        <v>0.89190000000000003</v>
      </c>
      <c r="I122" s="3384">
        <f>ROUND(0.7632-0.0166*B116,4)</f>
        <v>0.75870000000000004</v>
      </c>
      <c r="J122" s="3384">
        <f t="shared" si="37"/>
        <v>0.75870000000000004</v>
      </c>
      <c r="K122" s="3384">
        <f t="shared" si="37"/>
        <v>0.75870000000000004</v>
      </c>
      <c r="L122" s="3384">
        <f t="shared" si="37"/>
        <v>0.75870000000000004</v>
      </c>
      <c r="M122" s="3407">
        <f t="shared" si="37"/>
        <v>0.75870000000000004</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8" t="e">
        <f>F61</f>
        <v>#DIV/0!</v>
      </c>
      <c r="C2" s="904"/>
      <c r="D2" s="904"/>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89">
        <f>'数据-汇总表'!E19</f>
        <v>20228.239999999998</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29" t="s">
        <v>1767</v>
      </c>
      <c r="D4" s="3730"/>
      <c r="E4" s="3731" t="s">
        <v>1768</v>
      </c>
      <c r="F4" s="3732"/>
      <c r="G4" s="3729" t="s">
        <v>1769</v>
      </c>
      <c r="H4" s="3730"/>
      <c r="I4" s="3729" t="s">
        <v>1770</v>
      </c>
      <c r="J4" s="3730"/>
      <c r="K4" s="559" t="s">
        <v>1771</v>
      </c>
      <c r="L4" s="2711"/>
      <c r="M4" s="2712"/>
      <c r="N4" s="2712"/>
      <c r="O4" s="2712"/>
      <c r="P4" s="3733" t="s">
        <v>1772</v>
      </c>
      <c r="Q4" s="3734"/>
      <c r="R4" s="3739" t="s">
        <v>1768</v>
      </c>
      <c r="S4" s="3740"/>
      <c r="T4" s="3739" t="s">
        <v>1769</v>
      </c>
      <c r="U4" s="3740"/>
      <c r="V4" s="3724" t="s">
        <v>1770</v>
      </c>
      <c r="W4" s="3724"/>
      <c r="X4" s="1351"/>
      <c r="Y4" s="3739" t="s">
        <v>1772</v>
      </c>
      <c r="Z4" s="3740"/>
      <c r="AA4" s="3726" t="s">
        <v>1768</v>
      </c>
      <c r="AB4" s="3727" t="s">
        <v>1769</v>
      </c>
      <c r="AC4" s="3726" t="s">
        <v>1770</v>
      </c>
    </row>
    <row r="5" spans="1:29" ht="15">
      <c r="A5" s="358"/>
      <c r="B5" s="359"/>
      <c r="C5" s="3747" t="s">
        <v>1670</v>
      </c>
      <c r="D5" s="3748"/>
      <c r="E5" s="3754">
        <f>案例信息!A3</f>
        <v>0</v>
      </c>
      <c r="F5" s="3755"/>
      <c r="G5" s="3747">
        <f>案例信息!A4</f>
        <v>0</v>
      </c>
      <c r="H5" s="3748"/>
      <c r="I5" s="3747">
        <f>案例信息!A5</f>
        <v>0</v>
      </c>
      <c r="J5" s="3748"/>
      <c r="K5" s="559"/>
      <c r="L5" s="2711"/>
      <c r="M5" s="2712"/>
      <c r="N5" s="2712"/>
      <c r="O5" s="2712"/>
      <c r="P5" s="3735"/>
      <c r="Q5" s="3736"/>
      <c r="R5" s="3741"/>
      <c r="S5" s="3742"/>
      <c r="T5" s="3741"/>
      <c r="U5" s="3742"/>
      <c r="V5" s="3724"/>
      <c r="W5" s="3724"/>
      <c r="X5" s="1351"/>
      <c r="Y5" s="3741"/>
      <c r="Z5" s="3742"/>
      <c r="AA5" s="3727"/>
      <c r="AB5" s="3727"/>
      <c r="AC5" s="3727"/>
    </row>
    <row r="6" spans="1:29" ht="15.75" thickBot="1">
      <c r="A6" s="360"/>
      <c r="B6" s="361"/>
      <c r="C6" s="3814" t="s">
        <v>1916</v>
      </c>
      <c r="D6" s="3815"/>
      <c r="E6" s="3816" t="s">
        <v>1916</v>
      </c>
      <c r="F6" s="3817"/>
      <c r="G6" s="3814" t="s">
        <v>1916</v>
      </c>
      <c r="H6" s="3815"/>
      <c r="I6" s="3814" t="s">
        <v>1916</v>
      </c>
      <c r="J6" s="3815"/>
      <c r="K6" s="559" t="s">
        <v>1675</v>
      </c>
      <c r="L6" s="2711"/>
      <c r="M6" s="2712"/>
      <c r="N6" s="2712"/>
      <c r="O6" s="2712"/>
      <c r="P6" s="3737"/>
      <c r="Q6" s="3738"/>
      <c r="R6" s="3741"/>
      <c r="S6" s="3742"/>
      <c r="T6" s="3743"/>
      <c r="U6" s="3744"/>
      <c r="V6" s="3724"/>
      <c r="W6" s="3724"/>
      <c r="X6" s="1351"/>
      <c r="Y6" s="3743"/>
      <c r="Z6" s="3744"/>
      <c r="AA6" s="3728"/>
      <c r="AB6" s="3728"/>
      <c r="AC6" s="3728"/>
    </row>
    <row r="7" spans="1:29" s="108" customFormat="1" ht="15.75" thickBot="1">
      <c r="A7" s="362" t="s">
        <v>1676</v>
      </c>
      <c r="B7" s="363"/>
      <c r="C7" s="364">
        <f>'数据-取费表'!B2</f>
        <v>45467</v>
      </c>
      <c r="D7" s="365">
        <v>100</v>
      </c>
      <c r="E7" s="366">
        <f>案例信息!K3</f>
        <v>0</v>
      </c>
      <c r="F7" s="367">
        <f>SUMIF(65:65,YEAR(E7)&amp;"-"&amp;INT((MONTH(E7)+2)/3),66:66)</f>
        <v>0</v>
      </c>
      <c r="G7" s="1970">
        <f>案例信息!K4</f>
        <v>0</v>
      </c>
      <c r="H7" s="365">
        <f>SUMIF(65:65,YEAR(G7)&amp;"-"&amp;INT((MONTH(G7)+2)/3),66:66)</f>
        <v>0</v>
      </c>
      <c r="I7" s="1970">
        <f>案例信息!K5</f>
        <v>0</v>
      </c>
      <c r="J7" s="365">
        <f>SUMIF(65:65,YEAR(I7)&amp;"-"&amp;INT((MONTH(I7)+2)/3),66:66)</f>
        <v>0</v>
      </c>
      <c r="K7" s="560"/>
      <c r="L7" s="2713"/>
      <c r="M7" s="2714"/>
      <c r="N7" s="2714"/>
      <c r="O7" s="2714"/>
      <c r="P7" s="3749" t="s">
        <v>1677</v>
      </c>
      <c r="Q7" s="3751"/>
      <c r="R7" s="700" t="s">
        <v>14</v>
      </c>
      <c r="S7" s="701">
        <f t="shared" ref="S7:S15" si="0">F7</f>
        <v>0</v>
      </c>
      <c r="T7" s="700" t="s">
        <v>14</v>
      </c>
      <c r="U7" s="701">
        <f t="shared" ref="U7:U15" si="1">H7</f>
        <v>0</v>
      </c>
      <c r="V7" s="700" t="s">
        <v>14</v>
      </c>
      <c r="W7" s="701">
        <f t="shared" ref="W7:W15" si="2">J7</f>
        <v>0</v>
      </c>
      <c r="X7" s="702"/>
      <c r="Y7" s="3749" t="s">
        <v>1677</v>
      </c>
      <c r="Z7" s="3750"/>
      <c r="AA7" s="703" t="e">
        <f>D7/F7</f>
        <v>#DIV/0!</v>
      </c>
      <c r="AB7" s="703" t="e">
        <f>D7/H7</f>
        <v>#DIV/0!</v>
      </c>
      <c r="AC7" s="703"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3"/>
      <c r="M8" s="2714"/>
      <c r="N8" s="2714"/>
      <c r="O8" s="2714"/>
      <c r="P8" s="3749" t="s">
        <v>1680</v>
      </c>
      <c r="Q8" s="3750"/>
      <c r="R8" s="700" t="s">
        <v>14</v>
      </c>
      <c r="S8" s="701">
        <f t="shared" si="0"/>
        <v>100</v>
      </c>
      <c r="T8" s="700" t="s">
        <v>14</v>
      </c>
      <c r="U8" s="701">
        <f t="shared" si="1"/>
        <v>100</v>
      </c>
      <c r="V8" s="700" t="s">
        <v>14</v>
      </c>
      <c r="W8" s="701">
        <f t="shared" si="2"/>
        <v>100</v>
      </c>
      <c r="X8" s="702"/>
      <c r="Y8" s="3749" t="s">
        <v>1680</v>
      </c>
      <c r="Z8" s="3750"/>
      <c r="AA8" s="703">
        <f t="shared" ref="AA8:AA40" si="3">D8/F8</f>
        <v>1</v>
      </c>
      <c r="AB8" s="703">
        <f t="shared" ref="AB8:AB40" si="4">D8/H8</f>
        <v>1</v>
      </c>
      <c r="AC8" s="703">
        <f t="shared" ref="AC8:AC40" si="5">D8/J8</f>
        <v>1</v>
      </c>
    </row>
    <row r="9" spans="1:29" s="108" customFormat="1">
      <c r="A9" s="369" t="s">
        <v>1681</v>
      </c>
      <c r="B9" s="63" t="s">
        <v>1682</v>
      </c>
      <c r="C9" s="1973" t="s">
        <v>3</v>
      </c>
      <c r="D9" s="126">
        <v>100</v>
      </c>
      <c r="E9" s="1973" t="s">
        <v>3</v>
      </c>
      <c r="F9" s="126">
        <f>SUMIF(70:70,E9,71:71)-SUMIF(70:70,C9,71:71)+100</f>
        <v>100</v>
      </c>
      <c r="G9" s="1973" t="s">
        <v>3</v>
      </c>
      <c r="H9" s="126">
        <f>SUMIF(70:70,G9,71:71)-SUMIF(70:70,C9,71:71)+100</f>
        <v>100</v>
      </c>
      <c r="I9" s="1973" t="s">
        <v>3</v>
      </c>
      <c r="J9" s="126">
        <f>SUMIF(70:70,I9,71:71)-SUMIF(70:70,C9,71:71)+100</f>
        <v>100</v>
      </c>
      <c r="K9" s="560"/>
      <c r="L9" s="2713"/>
      <c r="M9" s="2714"/>
      <c r="N9" s="2714"/>
      <c r="O9" s="2768"/>
      <c r="P9" s="3710" t="s">
        <v>1683</v>
      </c>
      <c r="Q9" s="1339" t="str">
        <f t="shared" ref="Q9:Q15" si="6">B9</f>
        <v>用途</v>
      </c>
      <c r="R9" s="700" t="s">
        <v>14</v>
      </c>
      <c r="S9" s="701">
        <f t="shared" si="0"/>
        <v>100</v>
      </c>
      <c r="T9" s="700" t="s">
        <v>14</v>
      </c>
      <c r="U9" s="701">
        <f t="shared" si="1"/>
        <v>100</v>
      </c>
      <c r="V9" s="700" t="s">
        <v>14</v>
      </c>
      <c r="W9" s="701">
        <f t="shared" si="2"/>
        <v>100</v>
      </c>
      <c r="X9" s="702"/>
      <c r="Y9" s="3607"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116</v>
      </c>
      <c r="G10" s="383"/>
      <c r="H10" s="127">
        <f>ROUND(100/'数据-取费表'!G16,0)</f>
        <v>116</v>
      </c>
      <c r="I10" s="383"/>
      <c r="J10" s="127">
        <f>ROUND(100/'数据-取费表'!G16,0)</f>
        <v>116</v>
      </c>
      <c r="K10" s="619"/>
      <c r="L10" s="2715"/>
      <c r="M10" s="2716"/>
      <c r="N10" s="2716"/>
      <c r="O10" s="2769"/>
      <c r="P10" s="3710"/>
      <c r="Q10" s="1339" t="str">
        <f t="shared" si="6"/>
        <v>土地使用年限（年）</v>
      </c>
      <c r="R10" s="700" t="s">
        <v>14</v>
      </c>
      <c r="S10" s="701">
        <f t="shared" si="0"/>
        <v>116</v>
      </c>
      <c r="T10" s="700" t="s">
        <v>14</v>
      </c>
      <c r="U10" s="701">
        <f t="shared" si="1"/>
        <v>116</v>
      </c>
      <c r="V10" s="700" t="s">
        <v>14</v>
      </c>
      <c r="W10" s="701">
        <f t="shared" si="2"/>
        <v>116</v>
      </c>
      <c r="X10" s="702"/>
      <c r="Y10" s="3607"/>
      <c r="Z10" s="52" t="str">
        <f t="shared" si="7"/>
        <v>土地使用年限（年）</v>
      </c>
      <c r="AA10" s="703">
        <f t="shared" si="3"/>
        <v>0.86206896551724133</v>
      </c>
      <c r="AB10" s="703">
        <f t="shared" si="4"/>
        <v>0.86206896551724133</v>
      </c>
      <c r="AC10" s="703">
        <f t="shared" si="5"/>
        <v>0.86206896551724133</v>
      </c>
    </row>
    <row r="11" spans="1:29" ht="15">
      <c r="A11" s="379"/>
      <c r="B11" s="375" t="s">
        <v>1686</v>
      </c>
      <c r="C11" s="380">
        <f>'数据-汇总表'!I5</f>
        <v>0.27</v>
      </c>
      <c r="D11" s="127">
        <v>100</v>
      </c>
      <c r="E11" s="380">
        <v>1</v>
      </c>
      <c r="F11" s="127">
        <f>LOOKUP(E11,75:75,76:76)-LOOKUP(C11,75:75,76:76)+100</f>
        <v>101</v>
      </c>
      <c r="G11" s="381">
        <v>1</v>
      </c>
      <c r="H11" s="127">
        <f>LOOKUP(G11,75:75,76:76)-LOOKUP(C11,75:75,76:76)+100</f>
        <v>101</v>
      </c>
      <c r="I11" s="380">
        <v>1</v>
      </c>
      <c r="J11" s="127">
        <f>LOOKUP(I11,75:75,76:76)-LOOKUP(C11,75:75,76:76)+100</f>
        <v>101</v>
      </c>
      <c r="K11" s="620">
        <v>1</v>
      </c>
      <c r="L11" s="2717"/>
      <c r="M11" s="2712"/>
      <c r="N11" s="2712"/>
      <c r="O11" s="2770"/>
      <c r="P11" s="3710"/>
      <c r="Q11" s="1339" t="str">
        <f t="shared" si="6"/>
        <v>容积率</v>
      </c>
      <c r="R11" s="700" t="s">
        <v>14</v>
      </c>
      <c r="S11" s="701">
        <f t="shared" si="0"/>
        <v>101</v>
      </c>
      <c r="T11" s="700" t="s">
        <v>14</v>
      </c>
      <c r="U11" s="701">
        <f t="shared" si="1"/>
        <v>101</v>
      </c>
      <c r="V11" s="700" t="s">
        <v>14</v>
      </c>
      <c r="W11" s="701">
        <f t="shared" si="2"/>
        <v>101</v>
      </c>
      <c r="X11" s="702"/>
      <c r="Y11" s="3607"/>
      <c r="Z11" s="52" t="str">
        <f t="shared" si="7"/>
        <v>容积率</v>
      </c>
      <c r="AA11" s="703">
        <f t="shared" si="3"/>
        <v>0.99009900990099009</v>
      </c>
      <c r="AB11" s="703">
        <f t="shared" si="4"/>
        <v>0.99009900990099009</v>
      </c>
      <c r="AC11" s="703">
        <f t="shared" si="5"/>
        <v>0.99009900990099009</v>
      </c>
    </row>
    <row r="12" spans="1:29" s="108" customFormat="1" ht="15">
      <c r="A12" s="382"/>
      <c r="B12" s="1889">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10"/>
      <c r="Q12" s="1339">
        <f t="shared" si="6"/>
        <v>111</v>
      </c>
      <c r="R12" s="700" t="s">
        <v>14</v>
      </c>
      <c r="S12" s="701">
        <f t="shared" si="0"/>
        <v>100</v>
      </c>
      <c r="T12" s="700" t="s">
        <v>14</v>
      </c>
      <c r="U12" s="701">
        <f t="shared" si="1"/>
        <v>100</v>
      </c>
      <c r="V12" s="700" t="s">
        <v>14</v>
      </c>
      <c r="W12" s="701">
        <f t="shared" si="2"/>
        <v>100</v>
      </c>
      <c r="X12" s="702"/>
      <c r="Y12" s="3607"/>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10"/>
      <c r="Q13" s="1339">
        <f t="shared" si="6"/>
        <v>111</v>
      </c>
      <c r="R13" s="700" t="s">
        <v>14</v>
      </c>
      <c r="S13" s="701">
        <f t="shared" si="0"/>
        <v>100</v>
      </c>
      <c r="T13" s="700" t="s">
        <v>14</v>
      </c>
      <c r="U13" s="701">
        <f t="shared" si="1"/>
        <v>100</v>
      </c>
      <c r="V13" s="700" t="s">
        <v>14</v>
      </c>
      <c r="W13" s="701">
        <f t="shared" si="2"/>
        <v>100</v>
      </c>
      <c r="X13" s="702"/>
      <c r="Y13" s="3607"/>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10"/>
      <c r="Q14" s="1339">
        <f t="shared" si="6"/>
        <v>111</v>
      </c>
      <c r="R14" s="700" t="s">
        <v>14</v>
      </c>
      <c r="S14" s="701">
        <f t="shared" si="0"/>
        <v>100</v>
      </c>
      <c r="T14" s="700" t="s">
        <v>14</v>
      </c>
      <c r="U14" s="701">
        <f t="shared" si="1"/>
        <v>100</v>
      </c>
      <c r="V14" s="700" t="s">
        <v>14</v>
      </c>
      <c r="W14" s="701">
        <f t="shared" si="2"/>
        <v>100</v>
      </c>
      <c r="X14" s="702"/>
      <c r="Y14" s="3607"/>
      <c r="Z14" s="52">
        <f t="shared" si="7"/>
        <v>111</v>
      </c>
      <c r="AA14" s="703">
        <f t="shared" si="3"/>
        <v>1</v>
      </c>
      <c r="AB14" s="703">
        <f t="shared" si="4"/>
        <v>1</v>
      </c>
      <c r="AC14" s="703">
        <f t="shared" si="5"/>
        <v>1</v>
      </c>
    </row>
    <row r="15" spans="1:29" ht="57">
      <c r="A15" s="391" t="s">
        <v>1687</v>
      </c>
      <c r="B15" s="576" t="s">
        <v>1917</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18"/>
      <c r="M15" s="2712"/>
      <c r="N15" s="2712"/>
      <c r="O15" s="2770"/>
      <c r="P15" s="3717" t="s">
        <v>1688</v>
      </c>
      <c r="Q15" s="1348" t="str">
        <f t="shared" si="6"/>
        <v>产业集聚程度</v>
      </c>
      <c r="R15" s="704" t="s">
        <v>14</v>
      </c>
      <c r="S15" s="705">
        <f t="shared" si="0"/>
        <v>100</v>
      </c>
      <c r="T15" s="704" t="s">
        <v>14</v>
      </c>
      <c r="U15" s="705">
        <f t="shared" si="1"/>
        <v>100</v>
      </c>
      <c r="V15" s="704" t="s">
        <v>14</v>
      </c>
      <c r="W15" s="705">
        <f t="shared" si="2"/>
        <v>100</v>
      </c>
      <c r="X15" s="1351"/>
      <c r="Y15" s="3717" t="s">
        <v>1688</v>
      </c>
      <c r="Z15" s="1352" t="str">
        <f t="shared" si="7"/>
        <v>产业集聚程度</v>
      </c>
      <c r="AA15" s="1349">
        <f t="shared" si="3"/>
        <v>1</v>
      </c>
      <c r="AB15" s="1349">
        <f t="shared" si="4"/>
        <v>1</v>
      </c>
      <c r="AC15" s="1349">
        <f t="shared" si="5"/>
        <v>1</v>
      </c>
    </row>
    <row r="16" spans="1:29" ht="15">
      <c r="A16" s="379"/>
      <c r="B16" s="577"/>
      <c r="C16" s="398" t="s">
        <v>3399</v>
      </c>
      <c r="D16" s="399"/>
      <c r="E16" s="398" t="s">
        <v>3399</v>
      </c>
      <c r="F16" s="399"/>
      <c r="G16" s="398" t="s">
        <v>3399</v>
      </c>
      <c r="H16" s="401"/>
      <c r="I16" s="398" t="s">
        <v>3399</v>
      </c>
      <c r="J16" s="399"/>
      <c r="K16" s="619"/>
      <c r="L16" s="2718"/>
      <c r="M16" s="2712"/>
      <c r="N16" s="2712"/>
      <c r="O16" s="2770"/>
      <c r="P16" s="3718"/>
      <c r="Q16" s="1348"/>
      <c r="R16" s="704"/>
      <c r="S16" s="705"/>
      <c r="T16" s="704"/>
      <c r="U16" s="705"/>
      <c r="V16" s="704"/>
      <c r="W16" s="705"/>
      <c r="X16" s="1351"/>
      <c r="Y16" s="3718"/>
      <c r="Z16" s="1352"/>
      <c r="AA16" s="1349">
        <v>1</v>
      </c>
      <c r="AB16" s="1349">
        <v>1</v>
      </c>
      <c r="AC16" s="1349">
        <v>1</v>
      </c>
    </row>
    <row r="17" spans="1:29" ht="85.5">
      <c r="A17" s="379"/>
      <c r="B17" s="578"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18"/>
      <c r="M17" s="2712"/>
      <c r="N17" s="2712"/>
      <c r="O17" s="2770"/>
      <c r="P17" s="3718"/>
      <c r="Q17" s="1348" t="str">
        <f>B17</f>
        <v>交通便捷度</v>
      </c>
      <c r="R17" s="704" t="s">
        <v>14</v>
      </c>
      <c r="S17" s="705">
        <f>F17</f>
        <v>100</v>
      </c>
      <c r="T17" s="704" t="s">
        <v>14</v>
      </c>
      <c r="U17" s="705">
        <f>H17</f>
        <v>100</v>
      </c>
      <c r="V17" s="704" t="s">
        <v>14</v>
      </c>
      <c r="W17" s="705">
        <f>J17</f>
        <v>100</v>
      </c>
      <c r="X17" s="1351"/>
      <c r="Y17" s="3718"/>
      <c r="Z17" s="1352" t="str">
        <f>Q17</f>
        <v>交通便捷度</v>
      </c>
      <c r="AA17" s="1349">
        <f t="shared" si="3"/>
        <v>1</v>
      </c>
      <c r="AB17" s="1349">
        <f t="shared" si="4"/>
        <v>1</v>
      </c>
      <c r="AC17" s="1349">
        <f t="shared" si="5"/>
        <v>1</v>
      </c>
    </row>
    <row r="18" spans="1:29" ht="15">
      <c r="A18" s="379"/>
      <c r="B18" s="579"/>
      <c r="C18" s="398" t="s">
        <v>3399</v>
      </c>
      <c r="D18" s="399"/>
      <c r="E18" s="398" t="s">
        <v>3399</v>
      </c>
      <c r="F18" s="399"/>
      <c r="G18" s="398" t="s">
        <v>3399</v>
      </c>
      <c r="H18" s="399"/>
      <c r="I18" s="398" t="s">
        <v>3399</v>
      </c>
      <c r="J18" s="399"/>
      <c r="K18" s="619"/>
      <c r="L18" s="2718"/>
      <c r="M18" s="2712"/>
      <c r="N18" s="2712"/>
      <c r="O18" s="2770"/>
      <c r="P18" s="3718"/>
      <c r="Q18" s="1348"/>
      <c r="R18" s="704"/>
      <c r="S18" s="705"/>
      <c r="T18" s="704"/>
      <c r="U18" s="705"/>
      <c r="V18" s="704"/>
      <c r="W18" s="705"/>
      <c r="X18" s="1351"/>
      <c r="Y18" s="3718"/>
      <c r="Z18" s="1352"/>
      <c r="AA18" s="1349">
        <v>1</v>
      </c>
      <c r="AB18" s="1349">
        <v>1</v>
      </c>
      <c r="AC18" s="1349">
        <v>1</v>
      </c>
    </row>
    <row r="19" spans="1:29" ht="15">
      <c r="A19" s="379"/>
      <c r="B19" s="578"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18"/>
      <c r="M19" s="2712"/>
      <c r="N19" s="2712"/>
      <c r="O19" s="2770"/>
      <c r="P19" s="3718"/>
      <c r="Q19" s="1348" t="str">
        <f t="shared" ref="Q19:Q33" si="8">B19</f>
        <v>区域土地利用方向</v>
      </c>
      <c r="R19" s="704" t="s">
        <v>14</v>
      </c>
      <c r="S19" s="705">
        <f>F19</f>
        <v>100</v>
      </c>
      <c r="T19" s="704" t="s">
        <v>14</v>
      </c>
      <c r="U19" s="705">
        <f>H19</f>
        <v>100</v>
      </c>
      <c r="V19" s="704" t="s">
        <v>14</v>
      </c>
      <c r="W19" s="705">
        <f>J19</f>
        <v>100</v>
      </c>
      <c r="X19" s="1351"/>
      <c r="Y19" s="3718"/>
      <c r="Z19" s="1352" t="str">
        <f>Q19</f>
        <v>区域土地利用方向</v>
      </c>
      <c r="AA19" s="1349">
        <f t="shared" si="3"/>
        <v>1</v>
      </c>
      <c r="AB19" s="1349">
        <f t="shared" si="4"/>
        <v>1</v>
      </c>
      <c r="AC19" s="1349">
        <f t="shared" si="5"/>
        <v>1</v>
      </c>
    </row>
    <row r="20" spans="1:29" ht="15">
      <c r="A20" s="358"/>
      <c r="B20" s="579"/>
      <c r="C20" s="398" t="s">
        <v>3399</v>
      </c>
      <c r="D20" s="399"/>
      <c r="E20" s="398" t="s">
        <v>3399</v>
      </c>
      <c r="F20" s="399"/>
      <c r="G20" s="398" t="s">
        <v>3399</v>
      </c>
      <c r="H20" s="399"/>
      <c r="I20" s="398" t="s">
        <v>3399</v>
      </c>
      <c r="J20" s="399"/>
      <c r="K20" s="736"/>
      <c r="L20" s="2718"/>
      <c r="M20" s="2712"/>
      <c r="N20" s="2712"/>
      <c r="O20" s="2770"/>
      <c r="P20" s="3718"/>
      <c r="Q20" s="1348"/>
      <c r="R20" s="704"/>
      <c r="S20" s="705"/>
      <c r="T20" s="704"/>
      <c r="U20" s="705"/>
      <c r="V20" s="704"/>
      <c r="W20" s="705"/>
      <c r="X20" s="1351"/>
      <c r="Y20" s="3718"/>
      <c r="Z20" s="1352"/>
      <c r="AA20" s="1349"/>
      <c r="AB20" s="1349"/>
      <c r="AC20" s="1349"/>
    </row>
    <row r="21" spans="1:29" ht="71.25">
      <c r="A21" s="358"/>
      <c r="B21" s="578"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18"/>
      <c r="M21" s="2712"/>
      <c r="N21" s="2712"/>
      <c r="O21" s="2770"/>
      <c r="P21" s="3718"/>
      <c r="Q21" s="1348" t="str">
        <f t="shared" si="8"/>
        <v>环境状况</v>
      </c>
      <c r="R21" s="704" t="s">
        <v>14</v>
      </c>
      <c r="S21" s="705">
        <f>F21</f>
        <v>100</v>
      </c>
      <c r="T21" s="704" t="s">
        <v>14</v>
      </c>
      <c r="U21" s="705">
        <f>H21</f>
        <v>100</v>
      </c>
      <c r="V21" s="704" t="s">
        <v>14</v>
      </c>
      <c r="W21" s="705">
        <f>J21</f>
        <v>100</v>
      </c>
      <c r="X21" s="1351"/>
      <c r="Y21" s="3718"/>
      <c r="Z21" s="1352" t="str">
        <f>Q21</f>
        <v>环境状况</v>
      </c>
      <c r="AA21" s="1349">
        <f t="shared" si="3"/>
        <v>1</v>
      </c>
      <c r="AB21" s="1349">
        <f t="shared" si="4"/>
        <v>1</v>
      </c>
      <c r="AC21" s="1349">
        <f t="shared" si="5"/>
        <v>1</v>
      </c>
    </row>
    <row r="22" spans="1:29" ht="15">
      <c r="A22" s="358"/>
      <c r="B22" s="579"/>
      <c r="C22" s="398" t="s">
        <v>3399</v>
      </c>
      <c r="D22" s="399"/>
      <c r="E22" s="398" t="s">
        <v>3399</v>
      </c>
      <c r="F22" s="399"/>
      <c r="G22" s="398" t="s">
        <v>3399</v>
      </c>
      <c r="H22" s="399"/>
      <c r="I22" s="398" t="s">
        <v>3399</v>
      </c>
      <c r="J22" s="399"/>
      <c r="K22" s="619"/>
      <c r="L22" s="2718"/>
      <c r="M22" s="2712"/>
      <c r="N22" s="2712"/>
      <c r="O22" s="2770"/>
      <c r="P22" s="3718"/>
      <c r="Q22" s="1348"/>
      <c r="R22" s="704"/>
      <c r="S22" s="705"/>
      <c r="T22" s="704"/>
      <c r="U22" s="705"/>
      <c r="V22" s="704"/>
      <c r="W22" s="705"/>
      <c r="X22" s="1351"/>
      <c r="Y22" s="3718"/>
      <c r="Z22" s="1352"/>
      <c r="AA22" s="1349">
        <v>1</v>
      </c>
      <c r="AB22" s="1349">
        <v>1</v>
      </c>
      <c r="AC22" s="1349">
        <v>1</v>
      </c>
    </row>
    <row r="23" spans="1:29" s="108" customFormat="1" ht="42.75">
      <c r="A23" s="596"/>
      <c r="B23" s="580"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3"/>
      <c r="M23" s="2714"/>
      <c r="N23" s="2714"/>
      <c r="O23" s="2768"/>
      <c r="P23" s="3718"/>
      <c r="Q23" s="1339" t="str">
        <f t="shared" si="8"/>
        <v>公共配套设施</v>
      </c>
      <c r="R23" s="700" t="s">
        <v>14</v>
      </c>
      <c r="S23" s="701">
        <f>F23</f>
        <v>100</v>
      </c>
      <c r="T23" s="700" t="s">
        <v>14</v>
      </c>
      <c r="U23" s="701">
        <f>H23</f>
        <v>100</v>
      </c>
      <c r="V23" s="700" t="s">
        <v>14</v>
      </c>
      <c r="W23" s="701">
        <f>J23</f>
        <v>100</v>
      </c>
      <c r="X23" s="702"/>
      <c r="Y23" s="3718"/>
      <c r="Z23" s="52" t="str">
        <f>Q23</f>
        <v>公共配套设施</v>
      </c>
      <c r="AA23" s="1349">
        <f>D23/F23</f>
        <v>1</v>
      </c>
      <c r="AB23" s="1349">
        <f>D23/H23</f>
        <v>1</v>
      </c>
      <c r="AC23" s="1349">
        <f>D23/J23</f>
        <v>1</v>
      </c>
    </row>
    <row r="24" spans="1:29" s="108" customFormat="1" ht="15">
      <c r="A24" s="596"/>
      <c r="B24" s="579"/>
      <c r="C24" s="398" t="s">
        <v>3399</v>
      </c>
      <c r="D24" s="399"/>
      <c r="E24" s="398" t="s">
        <v>3399</v>
      </c>
      <c r="F24" s="399"/>
      <c r="G24" s="398" t="s">
        <v>3399</v>
      </c>
      <c r="H24" s="399"/>
      <c r="I24" s="398" t="s">
        <v>3399</v>
      </c>
      <c r="J24" s="399"/>
      <c r="K24" s="619"/>
      <c r="L24" s="2713"/>
      <c r="M24" s="2714"/>
      <c r="N24" s="2714"/>
      <c r="O24" s="2768"/>
      <c r="P24" s="3718"/>
      <c r="Q24" s="1339"/>
      <c r="R24" s="700"/>
      <c r="S24" s="701"/>
      <c r="T24" s="700"/>
      <c r="U24" s="701"/>
      <c r="V24" s="700"/>
      <c r="W24" s="701"/>
      <c r="X24" s="702"/>
      <c r="Y24" s="3718"/>
      <c r="Z24" s="52"/>
      <c r="AA24" s="703">
        <v>1</v>
      </c>
      <c r="AB24" s="703">
        <v>1</v>
      </c>
      <c r="AC24" s="703">
        <v>1</v>
      </c>
    </row>
    <row r="25" spans="1:29" s="108" customFormat="1" ht="28.5">
      <c r="A25" s="596"/>
      <c r="B25" s="580"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3"/>
      <c r="M25" s="2714"/>
      <c r="N25" s="2714"/>
      <c r="O25" s="2768"/>
      <c r="P25" s="3718"/>
      <c r="Q25" s="1339" t="str">
        <f t="shared" ref="Q25" si="9">B25</f>
        <v>基础设施水平</v>
      </c>
      <c r="R25" s="700" t="s">
        <v>14</v>
      </c>
      <c r="S25" s="701">
        <f>F25</f>
        <v>100</v>
      </c>
      <c r="T25" s="700" t="s">
        <v>14</v>
      </c>
      <c r="U25" s="701">
        <f>H25</f>
        <v>100</v>
      </c>
      <c r="V25" s="700" t="s">
        <v>14</v>
      </c>
      <c r="W25" s="701">
        <f>J25</f>
        <v>100</v>
      </c>
      <c r="X25" s="702"/>
      <c r="Y25" s="3718"/>
      <c r="Z25" s="52" t="str">
        <f>Q25</f>
        <v>基础设施水平</v>
      </c>
      <c r="AA25" s="1349">
        <f>D25/F25</f>
        <v>1</v>
      </c>
      <c r="AB25" s="1349">
        <f>D25/H25</f>
        <v>1</v>
      </c>
      <c r="AC25" s="1349">
        <f>D25/J25</f>
        <v>1</v>
      </c>
    </row>
    <row r="26" spans="1:29" s="108" customFormat="1" ht="15">
      <c r="A26" s="596"/>
      <c r="B26" s="579"/>
      <c r="C26" s="1974" t="s">
        <v>3407</v>
      </c>
      <c r="D26" s="399"/>
      <c r="E26" s="1974" t="s">
        <v>3407</v>
      </c>
      <c r="F26" s="399"/>
      <c r="G26" s="1974" t="s">
        <v>3407</v>
      </c>
      <c r="H26" s="399"/>
      <c r="I26" s="1974" t="s">
        <v>3407</v>
      </c>
      <c r="J26" s="399"/>
      <c r="K26" s="619"/>
      <c r="L26" s="2713"/>
      <c r="M26" s="2714"/>
      <c r="N26" s="2714"/>
      <c r="O26" s="2768"/>
      <c r="P26" s="3718"/>
      <c r="Q26" s="1339"/>
      <c r="R26" s="700"/>
      <c r="S26" s="701"/>
      <c r="T26" s="700"/>
      <c r="U26" s="701"/>
      <c r="V26" s="700"/>
      <c r="W26" s="701"/>
      <c r="X26" s="702"/>
      <c r="Y26" s="3718"/>
      <c r="Z26" s="52"/>
      <c r="AA26" s="703">
        <v>1</v>
      </c>
      <c r="AB26" s="703">
        <v>1</v>
      </c>
      <c r="AC26" s="703">
        <v>1</v>
      </c>
    </row>
    <row r="27" spans="1:29" ht="15">
      <c r="A27" s="379"/>
      <c r="B27" s="579" t="s">
        <v>1777</v>
      </c>
      <c r="C27" s="565"/>
      <c r="D27" s="386">
        <v>100</v>
      </c>
      <c r="E27" s="581"/>
      <c r="F27" s="386">
        <f>SUMIF(95:95,E27,96:96)-SUMIF(95:95,C27,96:96)+100</f>
        <v>100</v>
      </c>
      <c r="G27" s="581"/>
      <c r="H27" s="386">
        <f>SUMIF(95:95,G27,96:96)-SUMIF(95:95,C27,96:96)+100</f>
        <v>100</v>
      </c>
      <c r="I27" s="581"/>
      <c r="J27" s="386">
        <f>SUMIF(95:95,I27,96:96)-SUMIF(95:95,C27,96:96)+100</f>
        <v>100</v>
      </c>
      <c r="K27" s="620">
        <v>2</v>
      </c>
      <c r="L27" s="2718"/>
      <c r="M27" s="2712"/>
      <c r="N27" s="2712"/>
      <c r="O27" s="2770"/>
      <c r="P27" s="3718"/>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718"/>
      <c r="Z27" s="1352" t="str">
        <f t="shared" ref="Z27:Z40" si="13">Q27</f>
        <v>临街状况</v>
      </c>
      <c r="AA27" s="1349">
        <f t="shared" si="3"/>
        <v>1</v>
      </c>
      <c r="AB27" s="1349">
        <f t="shared" si="4"/>
        <v>1</v>
      </c>
      <c r="AC27" s="1349">
        <f t="shared" si="5"/>
        <v>1</v>
      </c>
    </row>
    <row r="28" spans="1:29" ht="27">
      <c r="A28" s="379"/>
      <c r="B28" s="580" t="s">
        <v>1812</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18"/>
      <c r="M28" s="2712"/>
      <c r="N28" s="2712"/>
      <c r="O28" s="2770"/>
      <c r="P28" s="3718"/>
      <c r="Q28" s="1348" t="str">
        <f t="shared" si="8"/>
        <v>毗邻道路的类型与等级</v>
      </c>
      <c r="R28" s="704" t="s">
        <v>14</v>
      </c>
      <c r="S28" s="705">
        <f t="shared" si="10"/>
        <v>100</v>
      </c>
      <c r="T28" s="704" t="s">
        <v>14</v>
      </c>
      <c r="U28" s="705">
        <f t="shared" si="11"/>
        <v>100</v>
      </c>
      <c r="V28" s="704" t="s">
        <v>14</v>
      </c>
      <c r="W28" s="705">
        <f t="shared" si="12"/>
        <v>100</v>
      </c>
      <c r="X28" s="1351"/>
      <c r="Y28" s="3718"/>
      <c r="Z28" s="1352" t="str">
        <f t="shared" si="13"/>
        <v>毗邻道路的类型与等级</v>
      </c>
      <c r="AA28" s="1349">
        <f t="shared" si="3"/>
        <v>1</v>
      </c>
      <c r="AB28" s="1349">
        <f t="shared" si="4"/>
        <v>1</v>
      </c>
      <c r="AC28" s="1349">
        <f t="shared" si="5"/>
        <v>1</v>
      </c>
    </row>
    <row r="29" spans="1:29" ht="15">
      <c r="A29" s="379"/>
      <c r="B29" s="579"/>
      <c r="C29" s="398" t="s">
        <v>3445</v>
      </c>
      <c r="D29" s="399"/>
      <c r="E29" s="398" t="s">
        <v>3445</v>
      </c>
      <c r="F29" s="399"/>
      <c r="G29" s="398" t="s">
        <v>3445</v>
      </c>
      <c r="H29" s="399"/>
      <c r="I29" s="398" t="s">
        <v>3445</v>
      </c>
      <c r="J29" s="399"/>
      <c r="K29" s="562"/>
      <c r="L29" s="2718"/>
      <c r="M29" s="2712"/>
      <c r="N29" s="2712"/>
      <c r="O29" s="2770"/>
      <c r="P29" s="3718"/>
      <c r="Q29" s="1348"/>
      <c r="R29" s="704"/>
      <c r="S29" s="705"/>
      <c r="T29" s="704"/>
      <c r="U29" s="705"/>
      <c r="V29" s="704"/>
      <c r="W29" s="705"/>
      <c r="X29" s="1351"/>
      <c r="Y29" s="3718"/>
      <c r="Z29" s="1352"/>
      <c r="AA29" s="1349">
        <v>1</v>
      </c>
      <c r="AB29" s="1349">
        <v>1</v>
      </c>
      <c r="AC29" s="1349">
        <v>1</v>
      </c>
    </row>
    <row r="30" spans="1:29" ht="15">
      <c r="A30" s="379"/>
      <c r="B30" s="601" t="s">
        <v>1870</v>
      </c>
      <c r="C30" s="1132">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18"/>
      <c r="Q30" s="1348" t="str">
        <f t="shared" si="8"/>
        <v>土地级别</v>
      </c>
      <c r="R30" s="704" t="s">
        <v>14</v>
      </c>
      <c r="S30" s="705">
        <f t="shared" si="10"/>
        <v>100</v>
      </c>
      <c r="T30" s="704" t="s">
        <v>14</v>
      </c>
      <c r="U30" s="705">
        <f t="shared" si="11"/>
        <v>100</v>
      </c>
      <c r="V30" s="704" t="s">
        <v>14</v>
      </c>
      <c r="W30" s="705">
        <f t="shared" si="12"/>
        <v>100</v>
      </c>
      <c r="X30" s="1351"/>
      <c r="Y30" s="3718"/>
      <c r="Z30" s="1352" t="str">
        <f t="shared" si="13"/>
        <v>土地级别</v>
      </c>
      <c r="AA30" s="1349">
        <f t="shared" si="3"/>
        <v>1</v>
      </c>
      <c r="AB30" s="1349">
        <f t="shared" si="4"/>
        <v>1</v>
      </c>
      <c r="AC30" s="1349">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18"/>
      <c r="Q31" s="1348">
        <f t="shared" si="8"/>
        <v>111</v>
      </c>
      <c r="R31" s="704" t="s">
        <v>14</v>
      </c>
      <c r="S31" s="705">
        <f t="shared" si="10"/>
        <v>100</v>
      </c>
      <c r="T31" s="704" t="s">
        <v>14</v>
      </c>
      <c r="U31" s="705">
        <f t="shared" si="11"/>
        <v>100</v>
      </c>
      <c r="V31" s="704" t="s">
        <v>14</v>
      </c>
      <c r="W31" s="705">
        <f t="shared" si="12"/>
        <v>100</v>
      </c>
      <c r="X31" s="1351"/>
      <c r="Y31" s="3718"/>
      <c r="Z31" s="1352">
        <f t="shared" si="13"/>
        <v>111</v>
      </c>
      <c r="AA31" s="1349">
        <f t="shared" si="3"/>
        <v>1</v>
      </c>
      <c r="AB31" s="1349">
        <f t="shared" si="4"/>
        <v>1</v>
      </c>
      <c r="AC31" s="1349">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90" t="s">
        <v>1693</v>
      </c>
      <c r="Q32" s="1348">
        <f t="shared" si="8"/>
        <v>111</v>
      </c>
      <c r="R32" s="704" t="s">
        <v>14</v>
      </c>
      <c r="S32" s="705">
        <f t="shared" si="10"/>
        <v>100</v>
      </c>
      <c r="T32" s="704" t="s">
        <v>14</v>
      </c>
      <c r="U32" s="705">
        <f t="shared" si="11"/>
        <v>100</v>
      </c>
      <c r="V32" s="704" t="s">
        <v>14</v>
      </c>
      <c r="W32" s="705">
        <f t="shared" si="12"/>
        <v>100</v>
      </c>
      <c r="X32" s="1351"/>
      <c r="Y32" s="3722" t="s">
        <v>1693</v>
      </c>
      <c r="Z32" s="1352">
        <f t="shared" si="13"/>
        <v>111</v>
      </c>
      <c r="AA32" s="1349">
        <f t="shared" si="3"/>
        <v>1</v>
      </c>
      <c r="AB32" s="1349">
        <f t="shared" si="4"/>
        <v>1</v>
      </c>
      <c r="AC32" s="1349">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22"/>
      <c r="Q33" s="1348">
        <f t="shared" si="8"/>
        <v>111</v>
      </c>
      <c r="R33" s="707" t="s">
        <v>14</v>
      </c>
      <c r="S33" s="708">
        <f t="shared" si="10"/>
        <v>100</v>
      </c>
      <c r="T33" s="707" t="s">
        <v>14</v>
      </c>
      <c r="U33" s="708">
        <f t="shared" si="11"/>
        <v>100</v>
      </c>
      <c r="V33" s="707" t="s">
        <v>14</v>
      </c>
      <c r="W33" s="708">
        <f t="shared" si="12"/>
        <v>100</v>
      </c>
      <c r="X33" s="709"/>
      <c r="Y33" s="3722"/>
      <c r="Z33" s="710">
        <f t="shared" si="13"/>
        <v>111</v>
      </c>
      <c r="AA33" s="1349">
        <f t="shared" si="3"/>
        <v>1</v>
      </c>
      <c r="AB33" s="1349">
        <f t="shared" si="4"/>
        <v>1</v>
      </c>
      <c r="AC33" s="1349">
        <f t="shared" si="5"/>
        <v>1</v>
      </c>
    </row>
    <row r="34" spans="1:31" ht="15">
      <c r="A34" s="391" t="s">
        <v>1691</v>
      </c>
      <c r="B34" s="407" t="s">
        <v>1871</v>
      </c>
      <c r="C34" s="626">
        <f>'数据-基础表'!A3</f>
        <v>73586.240000000005</v>
      </c>
      <c r="D34" s="418">
        <v>100</v>
      </c>
      <c r="E34" s="626">
        <f>案例信息!E3</f>
        <v>0</v>
      </c>
      <c r="F34" s="418">
        <f>LOOKUP(E34,108:108,109:109)-LOOKUP(C34,108:108,109:109)+100</f>
        <v>104</v>
      </c>
      <c r="G34" s="626">
        <f>案例信息!E4</f>
        <v>0</v>
      </c>
      <c r="H34" s="418">
        <f>LOOKUP(G34,108:108,109:109)-LOOKUP(C34,108:108,109:109)+100</f>
        <v>104</v>
      </c>
      <c r="I34" s="479">
        <f>案例信息!E5</f>
        <v>0</v>
      </c>
      <c r="J34" s="418">
        <f>LOOKUP(I34,108:108,109:109)-LOOKUP(C34,108:108,109:109)+100</f>
        <v>104</v>
      </c>
      <c r="K34" s="562"/>
      <c r="L34" s="2718"/>
      <c r="M34" s="2712"/>
      <c r="N34" s="2712"/>
      <c r="O34" s="2770"/>
      <c r="P34" s="3722"/>
      <c r="Q34" s="1348" t="str">
        <f>B34</f>
        <v>宗地面积</v>
      </c>
      <c r="R34" s="704" t="s">
        <v>14</v>
      </c>
      <c r="S34" s="705">
        <f t="shared" si="10"/>
        <v>104</v>
      </c>
      <c r="T34" s="704" t="s">
        <v>14</v>
      </c>
      <c r="U34" s="705">
        <f t="shared" si="11"/>
        <v>104</v>
      </c>
      <c r="V34" s="704" t="s">
        <v>14</v>
      </c>
      <c r="W34" s="705">
        <f t="shared" si="12"/>
        <v>104</v>
      </c>
      <c r="X34" s="1351"/>
      <c r="Y34" s="3722"/>
      <c r="Z34" s="1352" t="str">
        <f t="shared" si="13"/>
        <v>宗地面积</v>
      </c>
      <c r="AA34" s="1349">
        <f t="shared" si="3"/>
        <v>0.96153846153846156</v>
      </c>
      <c r="AB34" s="1349">
        <f t="shared" si="4"/>
        <v>0.96153846153846156</v>
      </c>
      <c r="AC34" s="1349">
        <f t="shared" si="5"/>
        <v>0.96153846153846156</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22"/>
      <c r="Q35" s="1348" t="str">
        <f t="shared" ref="Q35:Q40" si="14">B35</f>
        <v>宗地形状</v>
      </c>
      <c r="R35" s="704" t="s">
        <v>14</v>
      </c>
      <c r="S35" s="705">
        <f t="shared" si="10"/>
        <v>100</v>
      </c>
      <c r="T35" s="704" t="s">
        <v>14</v>
      </c>
      <c r="U35" s="705">
        <f t="shared" si="11"/>
        <v>100</v>
      </c>
      <c r="V35" s="704" t="s">
        <v>14</v>
      </c>
      <c r="W35" s="705">
        <f t="shared" si="12"/>
        <v>100</v>
      </c>
      <c r="X35" s="1351"/>
      <c r="Y35" s="3722"/>
      <c r="Z35" s="1352" t="str">
        <f t="shared" si="13"/>
        <v>宗地形状</v>
      </c>
      <c r="AA35" s="1349">
        <f t="shared" si="3"/>
        <v>1</v>
      </c>
      <c r="AB35" s="1349">
        <f t="shared" si="4"/>
        <v>1</v>
      </c>
      <c r="AC35" s="1349">
        <f t="shared" si="5"/>
        <v>1</v>
      </c>
    </row>
    <row r="36" spans="1:31" s="108" customFormat="1" ht="15">
      <c r="A36" s="424"/>
      <c r="B36" s="375" t="s">
        <v>1874</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22"/>
      <c r="Q36" s="1348" t="str">
        <f t="shared" si="14"/>
        <v>宗地开发程度</v>
      </c>
      <c r="R36" s="700" t="s">
        <v>14</v>
      </c>
      <c r="S36" s="701">
        <f t="shared" si="10"/>
        <v>100</v>
      </c>
      <c r="T36" s="700" t="s">
        <v>14</v>
      </c>
      <c r="U36" s="701">
        <f t="shared" si="11"/>
        <v>100</v>
      </c>
      <c r="V36" s="700" t="s">
        <v>14</v>
      </c>
      <c r="W36" s="701">
        <f t="shared" si="12"/>
        <v>100</v>
      </c>
      <c r="X36" s="702"/>
      <c r="Y36" s="3722"/>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22" t="s">
        <v>1693</v>
      </c>
      <c r="Q37" s="1348" t="str">
        <f t="shared" si="14"/>
        <v>工程地质条件</v>
      </c>
      <c r="R37" s="704" t="s">
        <v>14</v>
      </c>
      <c r="S37" s="705">
        <f t="shared" si="10"/>
        <v>100</v>
      </c>
      <c r="T37" s="704" t="s">
        <v>14</v>
      </c>
      <c r="U37" s="705">
        <f t="shared" si="11"/>
        <v>100</v>
      </c>
      <c r="V37" s="704" t="s">
        <v>14</v>
      </c>
      <c r="W37" s="705">
        <f t="shared" si="12"/>
        <v>100</v>
      </c>
      <c r="X37" s="1351"/>
      <c r="Y37" s="3722" t="s">
        <v>1693</v>
      </c>
      <c r="Z37" s="1352" t="str">
        <f t="shared" si="13"/>
        <v>工程地质条件</v>
      </c>
      <c r="AA37" s="1349">
        <f t="shared" si="3"/>
        <v>1</v>
      </c>
      <c r="AB37" s="1349">
        <f t="shared" si="4"/>
        <v>1</v>
      </c>
      <c r="AC37" s="1349">
        <f t="shared" si="5"/>
        <v>1</v>
      </c>
    </row>
    <row r="38" spans="1:31" ht="15">
      <c r="A38" s="423"/>
      <c r="B38" s="1130">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22"/>
      <c r="Q38" s="1348">
        <f t="shared" si="14"/>
        <v>111</v>
      </c>
      <c r="R38" s="704" t="s">
        <v>14</v>
      </c>
      <c r="S38" s="705">
        <f t="shared" si="10"/>
        <v>100</v>
      </c>
      <c r="T38" s="704" t="s">
        <v>14</v>
      </c>
      <c r="U38" s="705">
        <f t="shared" si="11"/>
        <v>100</v>
      </c>
      <c r="V38" s="704" t="s">
        <v>14</v>
      </c>
      <c r="W38" s="705">
        <f t="shared" si="12"/>
        <v>100</v>
      </c>
      <c r="X38" s="1351"/>
      <c r="Y38" s="3722"/>
      <c r="Z38" s="1352">
        <f t="shared" si="13"/>
        <v>111</v>
      </c>
      <c r="AA38" s="1349">
        <f t="shared" si="3"/>
        <v>1</v>
      </c>
      <c r="AB38" s="1349">
        <f t="shared" si="4"/>
        <v>1</v>
      </c>
      <c r="AC38" s="1349">
        <f t="shared" si="5"/>
        <v>1</v>
      </c>
    </row>
    <row r="39" spans="1:31" ht="15">
      <c r="A39" s="423"/>
      <c r="B39" s="1130">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22"/>
      <c r="Q39" s="1348">
        <f t="shared" si="14"/>
        <v>111</v>
      </c>
      <c r="R39" s="704" t="s">
        <v>14</v>
      </c>
      <c r="S39" s="705">
        <f t="shared" si="10"/>
        <v>100</v>
      </c>
      <c r="T39" s="704" t="s">
        <v>14</v>
      </c>
      <c r="U39" s="705">
        <f t="shared" si="11"/>
        <v>100</v>
      </c>
      <c r="V39" s="704" t="s">
        <v>14</v>
      </c>
      <c r="W39" s="705">
        <f t="shared" si="12"/>
        <v>100</v>
      </c>
      <c r="X39" s="1351"/>
      <c r="Y39" s="3722"/>
      <c r="Z39" s="1352">
        <f t="shared" si="13"/>
        <v>111</v>
      </c>
      <c r="AA39" s="1349">
        <f t="shared" si="3"/>
        <v>1</v>
      </c>
      <c r="AB39" s="1349">
        <f t="shared" si="4"/>
        <v>1</v>
      </c>
      <c r="AC39" s="1349">
        <f t="shared" si="5"/>
        <v>1</v>
      </c>
    </row>
    <row r="40" spans="1:31" s="422" customFormat="1" ht="15.75" thickBot="1">
      <c r="A40" s="419"/>
      <c r="B40" s="1130">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22"/>
      <c r="Q40" s="1348">
        <f t="shared" si="14"/>
        <v>111</v>
      </c>
      <c r="R40" s="707" t="s">
        <v>14</v>
      </c>
      <c r="S40" s="708">
        <f t="shared" si="10"/>
        <v>100</v>
      </c>
      <c r="T40" s="707" t="s">
        <v>14</v>
      </c>
      <c r="U40" s="708">
        <f t="shared" si="11"/>
        <v>100</v>
      </c>
      <c r="V40" s="707" t="s">
        <v>14</v>
      </c>
      <c r="W40" s="708">
        <f t="shared" si="12"/>
        <v>100</v>
      </c>
      <c r="X40" s="709"/>
      <c r="Y40" s="3722"/>
      <c r="Z40" s="710">
        <f t="shared" si="13"/>
        <v>111</v>
      </c>
      <c r="AA40" s="1349">
        <f t="shared" si="3"/>
        <v>1</v>
      </c>
      <c r="AB40" s="1349">
        <f t="shared" si="4"/>
        <v>1</v>
      </c>
      <c r="AC40" s="1349">
        <f t="shared" si="5"/>
        <v>1</v>
      </c>
    </row>
    <row r="41" spans="1:31" ht="15">
      <c r="A41" s="430" t="s">
        <v>1841</v>
      </c>
      <c r="B41" s="3452" t="s">
        <v>3447</v>
      </c>
      <c r="C41" s="629" t="s">
        <v>0</v>
      </c>
      <c r="D41" s="432"/>
      <c r="E41" s="433">
        <f>案例信息!O3</f>
        <v>0</v>
      </c>
      <c r="F41" s="434"/>
      <c r="G41" s="435">
        <f>案例信息!O4</f>
        <v>0</v>
      </c>
      <c r="H41" s="436"/>
      <c r="I41" s="433">
        <f>案例信息!O5</f>
        <v>0</v>
      </c>
      <c r="J41" s="436"/>
      <c r="K41" s="713"/>
      <c r="L41" s="2720"/>
      <c r="M41" s="2712"/>
      <c r="N41" s="2712"/>
      <c r="O41" s="2721"/>
      <c r="P41" s="3710" t="str">
        <f>A41</f>
        <v>成交单价</v>
      </c>
      <c r="Q41" s="3710"/>
      <c r="R41" s="3724">
        <f>E41</f>
        <v>0</v>
      </c>
      <c r="S41" s="3724"/>
      <c r="T41" s="3724">
        <f>G41</f>
        <v>0</v>
      </c>
      <c r="U41" s="3724"/>
      <c r="V41" s="3724">
        <f>I41</f>
        <v>0</v>
      </c>
      <c r="W41" s="3724"/>
      <c r="X41" s="689"/>
      <c r="Y41" s="711"/>
      <c r="Z41" s="689"/>
      <c r="AA41" s="689"/>
      <c r="AB41" s="689"/>
      <c r="AC41" s="689"/>
    </row>
    <row r="42" spans="1:31" ht="15.75" thickBot="1">
      <c r="A42" s="437" t="s">
        <v>1790</v>
      </c>
      <c r="B42" s="630"/>
      <c r="C42" s="440" t="e">
        <f>R43</f>
        <v>#DIV/0!</v>
      </c>
      <c r="D42" s="2313" t="s">
        <v>2133</v>
      </c>
      <c r="E42" s="440" t="e">
        <f>R42</f>
        <v>#DIV/0!</v>
      </c>
      <c r="F42" s="2314"/>
      <c r="G42" s="439" t="e">
        <f>T42</f>
        <v>#DIV/0!</v>
      </c>
      <c r="H42" s="2314"/>
      <c r="I42" s="440" t="e">
        <f>V42</f>
        <v>#DIV/0!</v>
      </c>
      <c r="J42" s="2314"/>
      <c r="K42" s="2316">
        <f>F42+H42+J42</f>
        <v>0</v>
      </c>
      <c r="L42" s="2720"/>
      <c r="M42" s="2712"/>
      <c r="N42" s="2712"/>
      <c r="O42" s="2721"/>
      <c r="P42" s="3710" t="str">
        <f>A42</f>
        <v>比较价值（元/平方米）</v>
      </c>
      <c r="Q42" s="3710"/>
      <c r="R42" s="3792" t="e">
        <f>ROUND(PRODUCT(R41,AA7:AA40),0)</f>
        <v>#DIV/0!</v>
      </c>
      <c r="S42" s="3792"/>
      <c r="T42" s="3792" t="e">
        <f>ROUND(PRODUCT(T41,AB7:AB40),0)</f>
        <v>#DIV/0!</v>
      </c>
      <c r="U42" s="3792"/>
      <c r="V42" s="3792" t="e">
        <f>ROUND(PRODUCT(V41,AC7:AC40),0)</f>
        <v>#DIV/0!</v>
      </c>
      <c r="W42" s="3792"/>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0"/>
      <c r="M43" s="2712"/>
      <c r="N43" s="2712"/>
      <c r="O43" s="2721"/>
      <c r="P43" s="3712" t="str">
        <f>A43</f>
        <v>估价对象XX用房的比较价值（楼面单价，元/平方米）</v>
      </c>
      <c r="Q43" s="3713"/>
      <c r="R43" s="3793" t="e">
        <f>ROUND(IF(D42="简单平均",AVERAGE(R42:W42),R42*F42+T42*H42+V42*J42),0)</f>
        <v>#DIV/0!</v>
      </c>
      <c r="S43" s="3793"/>
      <c r="T43" s="3793"/>
      <c r="U43" s="3793"/>
      <c r="V43" s="3793"/>
      <c r="W43" s="3793"/>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1878</v>
      </c>
      <c r="B50" s="632" t="s">
        <v>1879</v>
      </c>
      <c r="C50" s="1979" t="s">
        <v>1880</v>
      </c>
      <c r="D50" s="1980" t="s">
        <v>1881</v>
      </c>
      <c r="E50" s="633" t="s">
        <v>1882</v>
      </c>
      <c r="F50" s="634" t="s">
        <v>1883</v>
      </c>
      <c r="G50" s="3729" t="s">
        <v>1884</v>
      </c>
      <c r="H50" s="3794"/>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1887</v>
      </c>
      <c r="B51" s="636" t="e">
        <f>C43</f>
        <v>#DIV/0!</v>
      </c>
      <c r="C51" s="637">
        <v>1</v>
      </c>
      <c r="D51" s="940">
        <v>1</v>
      </c>
      <c r="E51" s="637">
        <f>'数据-汇总表'!E8+'数据-汇总表'!E9</f>
        <v>19982.989999999998</v>
      </c>
      <c r="F51" s="638" t="e">
        <f t="shared" ref="F51:F60" si="15">ROUND(B51*E51/10000,0)</f>
        <v>#DIV/0!</v>
      </c>
      <c r="G51" s="3725"/>
      <c r="H51" s="3710"/>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1888</v>
      </c>
      <c r="B52" s="218" t="e">
        <f>ROUND($C$43*C52*D52,0)</f>
        <v>#DIV/0!</v>
      </c>
      <c r="C52" s="171">
        <f t="shared" ref="C52:C60" si="16">IF($C$50="北京市系数",I52,J52)</f>
        <v>0</v>
      </c>
      <c r="D52" s="941">
        <v>0.25</v>
      </c>
      <c r="E52" s="641"/>
      <c r="F52" s="638" t="e">
        <f t="shared" si="15"/>
        <v>#DIV/0!</v>
      </c>
      <c r="G52" s="3002" t="s">
        <v>1889</v>
      </c>
      <c r="H52" s="883">
        <f>项目基本情况!B37</f>
        <v>0</v>
      </c>
      <c r="I52" s="769">
        <f>SUMIF(修正!A57:A68,H52,修正!B57:B68)</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1890</v>
      </c>
      <c r="B53" s="218" t="e">
        <f t="shared" ref="B53:B60" si="17">ROUND($C$43*C53*D53,0)</f>
        <v>#DIV/0!</v>
      </c>
      <c r="C53" s="171">
        <f t="shared" si="16"/>
        <v>0</v>
      </c>
      <c r="D53" s="941">
        <v>0.25</v>
      </c>
      <c r="E53" s="641"/>
      <c r="F53" s="638" t="e">
        <f t="shared" si="15"/>
        <v>#DIV/0!</v>
      </c>
      <c r="G53" s="3003"/>
      <c r="H53" s="883">
        <f>项目基本情况!B37</f>
        <v>0</v>
      </c>
      <c r="I53" s="769">
        <f>SUMIF(修正!A57:A68,H53,修正!C57:C68)</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1891</v>
      </c>
      <c r="B54" s="218" t="e">
        <f t="shared" si="17"/>
        <v>#DIV/0!</v>
      </c>
      <c r="C54" s="171">
        <f t="shared" si="16"/>
        <v>0</v>
      </c>
      <c r="D54" s="941">
        <v>0.25</v>
      </c>
      <c r="E54" s="641"/>
      <c r="F54" s="638" t="e">
        <f t="shared" si="15"/>
        <v>#DIV/0!</v>
      </c>
      <c r="G54" s="3003"/>
      <c r="H54" s="883">
        <f>项目基本情况!B37</f>
        <v>0</v>
      </c>
      <c r="I54" s="769">
        <f>SUMIF(修正!A57:A68,H54,修正!D57:D68)</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1892</v>
      </c>
      <c r="B56" s="218" t="e">
        <f t="shared" si="17"/>
        <v>#DIV/0!</v>
      </c>
      <c r="C56" s="171">
        <f t="shared" si="16"/>
        <v>0</v>
      </c>
      <c r="D56" s="941">
        <v>0.25</v>
      </c>
      <c r="E56" s="217">
        <f>'数据-汇总表'!E11</f>
        <v>0</v>
      </c>
      <c r="F56" s="638" t="e">
        <f t="shared" si="15"/>
        <v>#DIV/0!</v>
      </c>
      <c r="G56" s="1983" t="s">
        <v>1893</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1894</v>
      </c>
      <c r="B57" s="218" t="e">
        <f t="shared" si="17"/>
        <v>#DIV/0!</v>
      </c>
      <c r="C57" s="171">
        <f t="shared" si="16"/>
        <v>0</v>
      </c>
      <c r="D57" s="941">
        <v>0.25</v>
      </c>
      <c r="E57" s="217">
        <f>'数据-汇总表'!E12</f>
        <v>0</v>
      </c>
      <c r="F57" s="638" t="e">
        <f t="shared" si="15"/>
        <v>#DIV/0!</v>
      </c>
      <c r="G57" s="888" t="s">
        <v>1895</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1896</v>
      </c>
      <c r="B58" s="218" t="e">
        <f t="shared" si="17"/>
        <v>#DIV/0!</v>
      </c>
      <c r="C58" s="171">
        <f t="shared" si="16"/>
        <v>0</v>
      </c>
      <c r="D58" s="941">
        <v>0.25</v>
      </c>
      <c r="E58" s="217">
        <f>'数据-汇总表'!E13</f>
        <v>0</v>
      </c>
      <c r="F58" s="638" t="e">
        <f t="shared" si="15"/>
        <v>#DIV/0!</v>
      </c>
      <c r="G58" s="888" t="s">
        <v>1897</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1898</v>
      </c>
      <c r="B59" s="218" t="e">
        <f t="shared" si="17"/>
        <v>#DIV/0!</v>
      </c>
      <c r="C59" s="171">
        <f t="shared" si="16"/>
        <v>0</v>
      </c>
      <c r="D59" s="941">
        <v>0.25</v>
      </c>
      <c r="E59" s="217">
        <f>'数据-汇总表'!E14</f>
        <v>0</v>
      </c>
      <c r="F59" s="638" t="e">
        <f t="shared" si="15"/>
        <v>#DIV/0!</v>
      </c>
      <c r="G59" s="1983" t="s">
        <v>1889</v>
      </c>
      <c r="H59" s="883">
        <f>项目基本情况!B37</f>
        <v>0</v>
      </c>
      <c r="I59" s="769">
        <f>SUMIF(修正!A57:A68,H59,修正!G57:G68)</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1899</v>
      </c>
      <c r="B60" s="218" t="e">
        <f t="shared" si="17"/>
        <v>#DIV/0!</v>
      </c>
      <c r="C60" s="171">
        <f t="shared" si="16"/>
        <v>0</v>
      </c>
      <c r="D60" s="941">
        <v>0.25</v>
      </c>
      <c r="E60" s="217">
        <f>'数据-汇总表'!E15</f>
        <v>0</v>
      </c>
      <c r="F60" s="638" t="e">
        <f t="shared" si="15"/>
        <v>#DIV/0!</v>
      </c>
      <c r="G60" s="1984" t="s">
        <v>1893</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1900</v>
      </c>
      <c r="B61" s="643" t="s">
        <v>22</v>
      </c>
      <c r="C61" s="643" t="s">
        <v>23</v>
      </c>
      <c r="D61" s="643" t="s">
        <v>391</v>
      </c>
      <c r="E61" s="643">
        <f>IF(B41="楼面地价",SUM(E51:E60),'数据-汇总表'!D3)</f>
        <v>73586.240000000005</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1"/>
      <c r="Q63" s="2721"/>
      <c r="R63" s="2721"/>
      <c r="S63" s="2721"/>
      <c r="T63" s="2721"/>
      <c r="U63" s="2721"/>
      <c r="V63" s="2721"/>
      <c r="W63" s="2721"/>
      <c r="X63" s="2721"/>
      <c r="Y63" s="2721"/>
      <c r="Z63" s="2721"/>
      <c r="AA63" s="2721"/>
      <c r="AB63" s="2721"/>
      <c r="AC63" s="2721"/>
      <c r="AD63" s="2721"/>
      <c r="AE63" s="2721"/>
    </row>
    <row r="64" spans="1:31" ht="21.75" thickBot="1">
      <c r="A64" s="693" t="s">
        <v>1795</v>
      </c>
      <c r="B64" s="689"/>
      <c r="C64" s="694"/>
      <c r="D64" s="694"/>
      <c r="E64" s="694"/>
      <c r="F64" s="695"/>
      <c r="G64" s="695"/>
      <c r="H64" s="694"/>
      <c r="I64" s="694"/>
      <c r="J64" s="694"/>
      <c r="K64" s="696"/>
      <c r="L64" s="697"/>
      <c r="M64" s="694"/>
      <c r="N64" s="694"/>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1901</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1713</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1678</v>
      </c>
      <c r="B68" s="459"/>
      <c r="C68" s="471" t="s">
        <v>1773</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1716</v>
      </c>
      <c r="B70" s="477" t="s">
        <v>1682</v>
      </c>
      <c r="C70" s="3446" t="s">
        <v>3440</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1685</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1686</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v>5</v>
      </c>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1687</v>
      </c>
      <c r="B83" s="477" t="s">
        <v>1826</v>
      </c>
      <c r="C83" s="522" t="s">
        <v>1718</v>
      </c>
      <c r="D83" s="522" t="s">
        <v>1719</v>
      </c>
      <c r="E83" s="522" t="s">
        <v>1720</v>
      </c>
      <c r="F83" s="522" t="s">
        <v>1721</v>
      </c>
      <c r="G83" s="522" t="s">
        <v>1722</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1723</v>
      </c>
      <c r="C85" s="527" t="s">
        <v>1718</v>
      </c>
      <c r="D85" s="527" t="s">
        <v>1719</v>
      </c>
      <c r="E85" s="527" t="s">
        <v>1720</v>
      </c>
      <c r="F85" s="527" t="s">
        <v>1721</v>
      </c>
      <c r="G85" s="527" t="s">
        <v>1722</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1904</v>
      </c>
      <c r="C87" s="522" t="s">
        <v>1718</v>
      </c>
      <c r="D87" s="522" t="s">
        <v>1719</v>
      </c>
      <c r="E87" s="522" t="s">
        <v>1720</v>
      </c>
      <c r="F87" s="522" t="s">
        <v>1721</v>
      </c>
      <c r="G87" s="522" t="s">
        <v>1722</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1921</v>
      </c>
      <c r="C93" s="607" t="s">
        <v>1796</v>
      </c>
      <c r="D93" s="607" t="s">
        <v>1797</v>
      </c>
      <c r="E93" s="607" t="s">
        <v>1798</v>
      </c>
      <c r="F93" s="607" t="s">
        <v>1799</v>
      </c>
      <c r="G93" s="607" t="s">
        <v>1800</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1812</v>
      </c>
      <c r="C97" s="3445" t="s">
        <v>3441</v>
      </c>
      <c r="D97" s="3445" t="s">
        <v>3442</v>
      </c>
      <c r="E97" s="3445" t="s">
        <v>3443</v>
      </c>
      <c r="F97" s="3445" t="s">
        <v>3444</v>
      </c>
      <c r="G97" s="3445" t="s">
        <v>3446</v>
      </c>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1870</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1691</v>
      </c>
      <c r="B107" s="477" t="s">
        <v>1910</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30000</v>
      </c>
      <c r="E108" s="544">
        <v>50000</v>
      </c>
      <c r="F108" s="544">
        <v>100000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1911</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1913</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1914</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907</v>
      </c>
      <c r="B1" s="1487"/>
      <c r="C1" s="1487"/>
      <c r="D1" s="1487"/>
      <c r="E1" s="1487"/>
    </row>
    <row r="2" spans="1:5" ht="78" customHeight="1">
      <c r="A2" s="35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2"/>
      <c r="C2" s="3522"/>
      <c r="D2" s="3522"/>
      <c r="E2" s="3522"/>
    </row>
    <row r="3" spans="1:5" ht="18">
      <c r="A3" s="3523" t="str">
        <f>IF(项目基本情况!B9="房地产市场价值","估价结果一览表（市场价值不需“结果表-1”）","估价结果一览表")</f>
        <v>估价结果一览表</v>
      </c>
      <c r="B3" s="3523"/>
      <c r="C3" s="3523"/>
      <c r="D3" s="3523"/>
      <c r="E3" s="3523"/>
    </row>
    <row r="4" spans="1:5" ht="19.5" thickBot="1">
      <c r="A4" s="1489"/>
      <c r="B4" s="3521" t="s">
        <v>916</v>
      </c>
      <c r="C4" s="3521"/>
      <c r="D4" s="3521"/>
      <c r="E4" s="1489"/>
    </row>
    <row r="5" spans="1:5" ht="16.5" thickTop="1">
      <c r="A5" s="1487"/>
      <c r="B5" s="3519" t="s">
        <v>908</v>
      </c>
      <c r="C5" s="1490" t="s">
        <v>909</v>
      </c>
      <c r="D5" s="846">
        <f ca="1">结果表!H101</f>
        <v>16360</v>
      </c>
      <c r="E5" s="1487"/>
    </row>
    <row r="6" spans="1:5" ht="15.75">
      <c r="A6" s="1487"/>
      <c r="B6" s="3519"/>
      <c r="C6" s="1490" t="s">
        <v>910</v>
      </c>
      <c r="D6" s="846" t="str">
        <f ca="1">NUMBERSTRING(INT(D5*10000),2)&amp;"元整"</f>
        <v>壹亿陆仟叁佰陆拾万元整</v>
      </c>
      <c r="E6" s="1487"/>
    </row>
    <row r="7" spans="1:5" ht="15.75">
      <c r="A7" s="1487"/>
      <c r="B7" s="3524"/>
      <c r="C7" s="1491" t="s">
        <v>911</v>
      </c>
      <c r="D7" s="847">
        <f ca="1">结果表!H102</f>
        <v>8088</v>
      </c>
      <c r="E7" s="1487"/>
    </row>
    <row r="8" spans="1:5" ht="15.75">
      <c r="A8" s="1487"/>
      <c r="B8" s="3525" t="str">
        <f>结果表!E103</f>
        <v>2.估价师知悉的法定优先受偿款</v>
      </c>
      <c r="C8" s="1492" t="s">
        <v>912</v>
      </c>
      <c r="D8" s="847">
        <f>结果表!H103</f>
        <v>0</v>
      </c>
      <c r="E8" s="1487"/>
    </row>
    <row r="9" spans="1:5" ht="15.75">
      <c r="A9" s="1487"/>
      <c r="B9" s="3527"/>
      <c r="C9" s="1490" t="s">
        <v>910</v>
      </c>
      <c r="D9" s="846" t="str">
        <f>NUMBERSTRING(INT(D8*10000),2)&amp;"元整"</f>
        <v>零元整</v>
      </c>
      <c r="E9" s="1487"/>
    </row>
    <row r="10" spans="1:5" ht="15">
      <c r="A10" s="1487"/>
      <c r="B10" s="1493" t="s">
        <v>915</v>
      </c>
      <c r="C10" s="1494" t="s">
        <v>913</v>
      </c>
      <c r="D10" s="848">
        <f>结果表!H104</f>
        <v>0</v>
      </c>
      <c r="E10" s="1487"/>
    </row>
    <row r="11" spans="1:5" ht="15">
      <c r="A11" s="1487"/>
      <c r="B11" s="1493" t="s">
        <v>917</v>
      </c>
      <c r="C11" s="1494" t="s">
        <v>918</v>
      </c>
      <c r="D11" s="848">
        <f>结果表!H105</f>
        <v>0</v>
      </c>
      <c r="E11" s="1487"/>
    </row>
    <row r="12" spans="1:5" ht="15">
      <c r="A12" s="1487"/>
      <c r="B12" s="1493" t="s">
        <v>919</v>
      </c>
      <c r="C12" s="1494" t="s">
        <v>918</v>
      </c>
      <c r="D12" s="848">
        <f>结果表!H106</f>
        <v>0</v>
      </c>
      <c r="E12" s="1487"/>
    </row>
    <row r="13" spans="1:5" ht="15.75">
      <c r="A13" s="1487"/>
      <c r="B13" s="3518" t="str">
        <f>结果表!E107</f>
        <v>3.房地产抵押价值</v>
      </c>
      <c r="C13" s="1495" t="s">
        <v>909</v>
      </c>
      <c r="D13" s="849">
        <f ca="1">结果表!H107</f>
        <v>16360</v>
      </c>
      <c r="E13" s="1487"/>
    </row>
    <row r="14" spans="1:5" ht="15.75">
      <c r="A14" s="1487"/>
      <c r="B14" s="3519"/>
      <c r="C14" s="1490" t="s">
        <v>910</v>
      </c>
      <c r="D14" s="846" t="str">
        <f ca="1">NUMBERSTRING(INT(D13*10000),2)&amp;"元整"</f>
        <v>壹亿陆仟叁佰陆拾万元整</v>
      </c>
      <c r="E14" s="1487"/>
    </row>
    <row r="15" spans="1:5" ht="15">
      <c r="A15" s="1487"/>
      <c r="B15" s="3524"/>
      <c r="C15" s="1491" t="s">
        <v>920</v>
      </c>
      <c r="D15" s="855">
        <f ca="1">结果表!H108</f>
        <v>8088</v>
      </c>
      <c r="E15" s="1487"/>
    </row>
    <row r="16" spans="1:5" ht="15">
      <c r="A16" s="1487"/>
      <c r="B16" s="3525" t="str">
        <f>结果表!E109</f>
        <v>——</v>
      </c>
      <c r="C16" s="1495" t="s">
        <v>921</v>
      </c>
      <c r="D16" s="1496" t="str">
        <f>结果表!H109</f>
        <v>——</v>
      </c>
      <c r="E16" s="1487"/>
    </row>
    <row r="17" spans="1:5" ht="15.75">
      <c r="A17" s="1487"/>
      <c r="B17" s="3526"/>
      <c r="C17" s="1490" t="s">
        <v>922</v>
      </c>
      <c r="D17" s="846" t="e">
        <f>NUMBERSTRING(INT(D16*10000),2)&amp;"元整"</f>
        <v>#VALUE!</v>
      </c>
      <c r="E17" s="1487"/>
    </row>
    <row r="18" spans="1:5" ht="15">
      <c r="A18" s="1487"/>
      <c r="B18" s="3527"/>
      <c r="C18" s="1491" t="s">
        <v>911</v>
      </c>
      <c r="D18" s="855" t="str">
        <f>结果表!H110</f>
        <v>——</v>
      </c>
      <c r="E18" s="1487"/>
    </row>
    <row r="19" spans="1:5" ht="15.75">
      <c r="A19" s="1487"/>
      <c r="B19" s="3518" t="str">
        <f>结果表!E111</f>
        <v>4.抵押净值</v>
      </c>
      <c r="C19" s="1495" t="s">
        <v>909</v>
      </c>
      <c r="D19" s="847">
        <f ca="1">结果表!H111</f>
        <v>15495</v>
      </c>
      <c r="E19" s="1487"/>
    </row>
    <row r="20" spans="1:5" ht="15.75">
      <c r="A20" s="1487"/>
      <c r="B20" s="3519"/>
      <c r="C20" s="1490" t="s">
        <v>922</v>
      </c>
      <c r="D20" s="846" t="str">
        <f ca="1">NUMBERSTRING(INT(D19*10000),2)&amp;"元整"</f>
        <v>壹亿伍仟肆佰玖拾伍万元整</v>
      </c>
      <c r="E20" s="1487"/>
    </row>
    <row r="21" spans="1:5" ht="15.75" thickBot="1">
      <c r="A21" s="1487"/>
      <c r="B21" s="3520"/>
      <c r="C21" s="1497" t="s">
        <v>920</v>
      </c>
      <c r="D21" s="856">
        <f ca="1">结果表!H112</f>
        <v>7660</v>
      </c>
      <c r="E21" s="1487"/>
    </row>
    <row r="22" spans="1:5" ht="15" thickTop="1">
      <c r="A22" s="1487"/>
      <c r="B22" s="1498" t="s">
        <v>923</v>
      </c>
      <c r="C22" s="1487"/>
      <c r="D22" s="1487"/>
      <c r="E22" s="1487"/>
    </row>
    <row r="23" spans="1:5">
      <c r="A23" s="1487"/>
      <c r="B23" s="1487"/>
      <c r="C23" s="1487"/>
      <c r="D23" s="1487"/>
      <c r="E23" s="1487"/>
    </row>
    <row r="24" spans="1:5" ht="18.75">
      <c r="A24" s="1499"/>
      <c r="B24" s="1500" t="s">
        <v>914</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9" t="s">
        <v>2078</v>
      </c>
      <c r="C1" s="3821" t="s">
        <v>2079</v>
      </c>
      <c r="D1" s="3822"/>
      <c r="E1" s="3822"/>
      <c r="F1" s="3822"/>
      <c r="G1" s="3822"/>
      <c r="H1" s="3822"/>
      <c r="I1" s="3822"/>
      <c r="J1" s="3822"/>
      <c r="K1" s="3822"/>
      <c r="L1" s="3822"/>
      <c r="M1" s="3822"/>
      <c r="N1" s="3822"/>
      <c r="O1" s="3822"/>
      <c r="P1" s="3822"/>
      <c r="Q1" s="3822"/>
      <c r="R1" s="3822"/>
      <c r="S1" s="3823"/>
      <c r="T1" s="979" t="s">
        <v>2080</v>
      </c>
    </row>
    <row r="2" spans="1:45" s="654" customFormat="1">
      <c r="A2" s="980"/>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0"/>
      <c r="B5" s="1332" t="s">
        <v>2082</v>
      </c>
      <c r="C5" s="991"/>
      <c r="D5" s="992"/>
      <c r="E5" s="992"/>
      <c r="F5" s="1308"/>
      <c r="G5" s="1308"/>
      <c r="H5" s="1308"/>
      <c r="I5" s="1308"/>
      <c r="J5" s="1308"/>
      <c r="K5" s="1308"/>
      <c r="L5" s="1309"/>
      <c r="M5" s="1310"/>
      <c r="N5" s="1310"/>
      <c r="O5" s="1308"/>
      <c r="P5" s="1308"/>
      <c r="Q5" s="1308"/>
      <c r="R5" s="1308"/>
      <c r="S5" s="1311"/>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3" t="s">
        <v>2083</v>
      </c>
      <c r="C7" s="900"/>
      <c r="D7" s="894"/>
      <c r="E7" s="894"/>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3" t="s">
        <v>2084</v>
      </c>
      <c r="C9" s="900"/>
      <c r="D9" s="894"/>
      <c r="E9" s="894"/>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2" t="s">
        <v>2085</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2088</v>
      </c>
      <c r="B17" s="2145" t="s">
        <v>2089</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6" t="s">
        <v>2090</v>
      </c>
      <c r="E19" s="1336"/>
      <c r="F19" s="1336"/>
      <c r="G19" s="1336"/>
      <c r="H19" s="1055"/>
      <c r="I19" s="159"/>
      <c r="J19" s="159"/>
      <c r="K19" s="159"/>
      <c r="L19" s="159"/>
      <c r="M19" s="159"/>
      <c r="N19" s="159"/>
      <c r="O19" s="159"/>
      <c r="P19" s="159"/>
      <c r="Q19" s="159"/>
      <c r="R19" s="717"/>
      <c r="S19" s="129"/>
    </row>
    <row r="20" spans="1:45" ht="16.5" thickBot="1">
      <c r="A20" s="661" t="s">
        <v>2091</v>
      </c>
      <c r="B20" s="294" t="e">
        <f ca="1">IF(D20="——",S22,S22-F20)</f>
        <v>#REF!</v>
      </c>
      <c r="C20" s="159"/>
      <c r="D20" s="2147"/>
      <c r="E20" s="1337"/>
      <c r="F20" s="979" t="e">
        <f ca="1">SUMIF(INDIRECT("'"&amp;H20&amp;"'"&amp;"!A:A"),"承租人权益价值",INDIRECT("'"&amp;H20&amp;"'"&amp;"!c:c"))</f>
        <v>#REF!</v>
      </c>
      <c r="G20" s="979" t="s">
        <v>2092</v>
      </c>
      <c r="H20" s="2148"/>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818" t="s">
        <v>27</v>
      </c>
      <c r="D22" s="3819"/>
      <c r="E22" s="3819"/>
      <c r="F22" s="3819"/>
      <c r="G22" s="3819"/>
      <c r="H22" s="3819"/>
      <c r="I22" s="3819"/>
      <c r="J22" s="3819"/>
      <c r="K22" s="3819"/>
      <c r="L22" s="3819"/>
      <c r="M22" s="3819"/>
      <c r="N22" s="3819"/>
      <c r="O22" s="3819"/>
      <c r="P22" s="3819"/>
      <c r="Q22" s="3820"/>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33" t="s">
        <v>2606</v>
      </c>
      <c r="B20" s="3828" t="s">
        <v>2627</v>
      </c>
      <c r="C20" s="3099" t="s">
        <v>2438</v>
      </c>
      <c r="D20" s="3100"/>
      <c r="E20" s="3101">
        <v>1</v>
      </c>
      <c r="F20" s="3102" t="s">
        <v>2439</v>
      </c>
      <c r="G20" s="3102"/>
    </row>
    <row r="21" spans="1:13" ht="19.5" customHeight="1">
      <c r="A21" s="3834"/>
      <c r="B21" s="3827"/>
      <c r="C21" s="3103" t="s">
        <v>2440</v>
      </c>
      <c r="D21" s="3104"/>
      <c r="E21" s="3105">
        <v>1</v>
      </c>
      <c r="F21" s="3102" t="s">
        <v>2441</v>
      </c>
      <c r="G21" s="3102"/>
    </row>
    <row r="22" spans="1:13" ht="19.5" customHeight="1">
      <c r="A22" s="3834"/>
      <c r="B22" s="3827"/>
      <c r="C22" s="3103" t="s">
        <v>2442</v>
      </c>
      <c r="D22" s="3104"/>
      <c r="E22" s="3105">
        <v>0.9</v>
      </c>
      <c r="F22" s="3102" t="s">
        <v>2443</v>
      </c>
      <c r="G22" s="3102"/>
    </row>
    <row r="23" spans="1:13" ht="19.5" customHeight="1">
      <c r="A23" s="3834"/>
      <c r="B23" s="3827"/>
      <c r="C23" s="3103" t="s">
        <v>2444</v>
      </c>
      <c r="D23" s="3104"/>
      <c r="E23" s="3105">
        <v>0.9</v>
      </c>
      <c r="F23" s="3102" t="s">
        <v>2445</v>
      </c>
      <c r="G23" s="3102"/>
    </row>
    <row r="24" spans="1:13" ht="19.5" customHeight="1">
      <c r="A24" s="3834"/>
      <c r="B24" s="3827"/>
      <c r="C24" s="3103" t="s">
        <v>2446</v>
      </c>
      <c r="D24" s="3104"/>
      <c r="E24" s="3105">
        <v>0.8</v>
      </c>
      <c r="F24" s="3102" t="s">
        <v>2447</v>
      </c>
      <c r="G24" s="3102"/>
    </row>
    <row r="25" spans="1:13" ht="19.5" customHeight="1" thickBot="1">
      <c r="A25" s="3835"/>
      <c r="B25" s="3829"/>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30" t="s">
        <v>2630</v>
      </c>
      <c r="B27" s="3828" t="s">
        <v>2611</v>
      </c>
      <c r="C27" s="3099" t="s">
        <v>2451</v>
      </c>
      <c r="D27" s="3100"/>
      <c r="E27" s="3101">
        <v>1</v>
      </c>
      <c r="F27" s="3102" t="s">
        <v>2452</v>
      </c>
      <c r="G27" s="3102"/>
    </row>
    <row r="28" spans="1:13" ht="19.5" customHeight="1">
      <c r="A28" s="3831"/>
      <c r="B28" s="3827"/>
      <c r="C28" s="3103" t="s">
        <v>2453</v>
      </c>
      <c r="D28" s="3104"/>
      <c r="E28" s="3105">
        <v>1</v>
      </c>
      <c r="F28" s="3102" t="s">
        <v>2454</v>
      </c>
      <c r="G28" s="3102"/>
    </row>
    <row r="29" spans="1:13" ht="19.5" customHeight="1">
      <c r="A29" s="3831"/>
      <c r="B29" s="3827"/>
      <c r="C29" s="3103" t="s">
        <v>2455</v>
      </c>
      <c r="D29" s="3104"/>
      <c r="E29" s="3105">
        <v>0.8</v>
      </c>
      <c r="F29" s="3102" t="s">
        <v>2456</v>
      </c>
      <c r="G29" s="3102"/>
    </row>
    <row r="30" spans="1:13" ht="19.5" customHeight="1">
      <c r="A30" s="3831"/>
      <c r="B30" s="3827"/>
      <c r="C30" s="3103" t="s">
        <v>2457</v>
      </c>
      <c r="D30" s="3104"/>
      <c r="E30" s="3105">
        <v>0.8</v>
      </c>
      <c r="F30" s="3102" t="s">
        <v>2458</v>
      </c>
      <c r="G30" s="3102"/>
    </row>
    <row r="31" spans="1:13" ht="19.5" customHeight="1">
      <c r="A31" s="3831"/>
      <c r="B31" s="3827"/>
      <c r="C31" s="3103" t="s">
        <v>2459</v>
      </c>
      <c r="D31" s="3104"/>
      <c r="E31" s="3105">
        <v>0.8</v>
      </c>
      <c r="F31" s="3102" t="s">
        <v>2460</v>
      </c>
      <c r="G31" s="3102"/>
    </row>
    <row r="32" spans="1:13" ht="19.5" customHeight="1">
      <c r="A32" s="3831"/>
      <c r="B32" s="3827"/>
      <c r="C32" s="3103" t="s">
        <v>2461</v>
      </c>
      <c r="D32" s="3104"/>
      <c r="E32" s="3105">
        <v>0.7</v>
      </c>
      <c r="F32" s="3102" t="s">
        <v>2462</v>
      </c>
      <c r="G32" s="3102"/>
    </row>
    <row r="33" spans="1:7" ht="19.5" customHeight="1">
      <c r="A33" s="3831"/>
      <c r="B33" s="3827"/>
      <c r="C33" s="3103" t="s">
        <v>2463</v>
      </c>
      <c r="D33" s="3104"/>
      <c r="E33" s="3105">
        <v>0.8</v>
      </c>
      <c r="F33" s="3102" t="s">
        <v>2464</v>
      </c>
      <c r="G33" s="3102"/>
    </row>
    <row r="34" spans="1:7" ht="19.5" customHeight="1">
      <c r="A34" s="3831"/>
      <c r="B34" s="3827"/>
      <c r="C34" s="3103" t="s">
        <v>2465</v>
      </c>
      <c r="D34" s="3104"/>
      <c r="E34" s="3105">
        <v>0.6</v>
      </c>
      <c r="F34" s="3102" t="s">
        <v>2466</v>
      </c>
      <c r="G34" s="3102"/>
    </row>
    <row r="35" spans="1:7" ht="19.5" customHeight="1">
      <c r="A35" s="3831"/>
      <c r="B35" s="3827"/>
      <c r="C35" s="3103" t="s">
        <v>2467</v>
      </c>
      <c r="D35" s="3104"/>
      <c r="E35" s="3105">
        <v>0.2</v>
      </c>
      <c r="F35" s="3102" t="s">
        <v>2468</v>
      </c>
      <c r="G35" s="3102"/>
    </row>
    <row r="36" spans="1:7" ht="19.5" customHeight="1">
      <c r="A36" s="3831"/>
      <c r="B36" s="3827"/>
      <c r="C36" s="3103" t="s">
        <v>2469</v>
      </c>
      <c r="D36" s="3104"/>
      <c r="E36" s="3105">
        <v>0.2</v>
      </c>
      <c r="F36" s="3102" t="s">
        <v>2470</v>
      </c>
      <c r="G36" s="3102"/>
    </row>
    <row r="37" spans="1:7" ht="19.5" customHeight="1">
      <c r="A37" s="3831"/>
      <c r="B37" s="3825" t="s">
        <v>2631</v>
      </c>
      <c r="C37" s="3103" t="s">
        <v>2471</v>
      </c>
      <c r="D37" s="3104"/>
      <c r="E37" s="3105">
        <v>0.6</v>
      </c>
      <c r="F37" s="3102" t="s">
        <v>2472</v>
      </c>
      <c r="G37" s="3102"/>
    </row>
    <row r="38" spans="1:7" ht="19.5" customHeight="1">
      <c r="A38" s="3831"/>
      <c r="B38" s="3827"/>
      <c r="C38" s="3103" t="s">
        <v>2473</v>
      </c>
      <c r="D38" s="3104"/>
      <c r="E38" s="3105">
        <v>0.6</v>
      </c>
      <c r="F38" s="3102" t="s">
        <v>2474</v>
      </c>
      <c r="G38" s="3102"/>
    </row>
    <row r="39" spans="1:7" ht="19.5" customHeight="1" thickBot="1">
      <c r="A39" s="3832"/>
      <c r="B39" s="3829"/>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33" t="s">
        <v>2609</v>
      </c>
      <c r="B41" s="3828" t="s">
        <v>2633</v>
      </c>
      <c r="C41" s="3099" t="s">
        <v>2478</v>
      </c>
      <c r="D41" s="3100"/>
      <c r="E41" s="3101">
        <v>1</v>
      </c>
      <c r="F41" s="3102" t="s">
        <v>2479</v>
      </c>
      <c r="G41" s="3102"/>
    </row>
    <row r="42" spans="1:7" ht="19.5" customHeight="1">
      <c r="A42" s="3834"/>
      <c r="B42" s="3827"/>
      <c r="C42" s="3103" t="s">
        <v>2480</v>
      </c>
      <c r="D42" s="3104"/>
      <c r="E42" s="3105">
        <v>1</v>
      </c>
      <c r="F42" s="3102" t="s">
        <v>2481</v>
      </c>
      <c r="G42" s="3102"/>
    </row>
    <row r="43" spans="1:7" ht="19.5" customHeight="1">
      <c r="A43" s="3834"/>
      <c r="B43" s="3826"/>
      <c r="C43" s="3103" t="s">
        <v>2482</v>
      </c>
      <c r="D43" s="3104"/>
      <c r="E43" s="3105">
        <v>1.5</v>
      </c>
      <c r="F43" s="3102" t="s">
        <v>2483</v>
      </c>
      <c r="G43" s="3102"/>
    </row>
    <row r="44" spans="1:7" ht="19.5" customHeight="1">
      <c r="A44" s="3834"/>
      <c r="B44" s="3114" t="s">
        <v>2634</v>
      </c>
      <c r="C44" s="3103" t="s">
        <v>2635</v>
      </c>
      <c r="D44" s="3104"/>
      <c r="E44" s="3105">
        <v>2</v>
      </c>
      <c r="F44" s="3102" t="s">
        <v>2484</v>
      </c>
      <c r="G44" s="3102"/>
    </row>
    <row r="45" spans="1:7" ht="19.5" customHeight="1">
      <c r="A45" s="3834"/>
      <c r="B45" s="3825" t="s">
        <v>2636</v>
      </c>
      <c r="C45" s="3103" t="s">
        <v>2485</v>
      </c>
      <c r="D45" s="3104"/>
      <c r="E45" s="3105">
        <v>1</v>
      </c>
      <c r="F45" s="3102" t="s">
        <v>2486</v>
      </c>
      <c r="G45" s="3102"/>
    </row>
    <row r="46" spans="1:7" ht="19.5" customHeight="1">
      <c r="A46" s="3834"/>
      <c r="B46" s="3827"/>
      <c r="C46" s="3103" t="s">
        <v>2487</v>
      </c>
      <c r="D46" s="3104"/>
      <c r="E46" s="3105">
        <v>1</v>
      </c>
      <c r="F46" s="3102" t="s">
        <v>2488</v>
      </c>
      <c r="G46" s="3102"/>
    </row>
    <row r="47" spans="1:7" ht="19.5" customHeight="1">
      <c r="A47" s="3834"/>
      <c r="B47" s="3827"/>
      <c r="C47" s="3103" t="s">
        <v>2489</v>
      </c>
      <c r="D47" s="3104"/>
      <c r="E47" s="3105">
        <v>1</v>
      </c>
      <c r="F47" s="3102" t="s">
        <v>2490</v>
      </c>
      <c r="G47" s="3102"/>
    </row>
    <row r="48" spans="1:7" ht="19.5" customHeight="1">
      <c r="A48" s="3834"/>
      <c r="B48" s="3827"/>
      <c r="C48" s="3103" t="s">
        <v>2491</v>
      </c>
      <c r="D48" s="3104"/>
      <c r="E48" s="3105">
        <v>1</v>
      </c>
      <c r="F48" s="3102" t="s">
        <v>2492</v>
      </c>
      <c r="G48" s="3102"/>
    </row>
    <row r="49" spans="1:7" ht="19.5" customHeight="1">
      <c r="A49" s="3834"/>
      <c r="B49" s="3827"/>
      <c r="C49" s="3103" t="s">
        <v>2493</v>
      </c>
      <c r="D49" s="3104"/>
      <c r="E49" s="3105">
        <v>1</v>
      </c>
      <c r="F49" s="3102" t="s">
        <v>2494</v>
      </c>
      <c r="G49" s="3102"/>
    </row>
    <row r="50" spans="1:7" ht="19.5" customHeight="1">
      <c r="A50" s="3834"/>
      <c r="B50" s="3827"/>
      <c r="C50" s="3103" t="s">
        <v>2495</v>
      </c>
      <c r="D50" s="3104"/>
      <c r="E50" s="3105">
        <v>1</v>
      </c>
      <c r="F50" s="3102" t="s">
        <v>2496</v>
      </c>
      <c r="G50" s="3102"/>
    </row>
    <row r="51" spans="1:7" ht="19.5" customHeight="1" thickBot="1">
      <c r="A51" s="3835"/>
      <c r="B51" s="3829"/>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25" t="s">
        <v>2650</v>
      </c>
      <c r="C73" s="3088" t="s">
        <v>2651</v>
      </c>
      <c r="D73" s="3088" t="s">
        <v>2652</v>
      </c>
      <c r="E73" s="3114">
        <v>0.2</v>
      </c>
      <c r="F73" s="3114">
        <v>25</v>
      </c>
    </row>
    <row r="74" spans="1:7" ht="24">
      <c r="A74" s="3114">
        <v>2</v>
      </c>
      <c r="B74" s="3827"/>
      <c r="C74" s="3088" t="s">
        <v>2653</v>
      </c>
      <c r="D74" s="3088" t="s">
        <v>2654</v>
      </c>
      <c r="E74" s="3114">
        <v>0.2</v>
      </c>
      <c r="F74" s="3114">
        <v>25</v>
      </c>
    </row>
    <row r="75" spans="1:7" ht="24">
      <c r="A75" s="3114">
        <v>3</v>
      </c>
      <c r="B75" s="3827"/>
      <c r="C75" s="3088" t="s">
        <v>2655</v>
      </c>
      <c r="D75" s="3088" t="s">
        <v>2656</v>
      </c>
      <c r="E75" s="3114">
        <v>0.2</v>
      </c>
      <c r="F75" s="3114">
        <v>25</v>
      </c>
    </row>
    <row r="76" spans="1:7" ht="13.5">
      <c r="A76" s="3114">
        <v>4</v>
      </c>
      <c r="B76" s="3827"/>
      <c r="C76" s="3088" t="s">
        <v>2657</v>
      </c>
      <c r="D76" s="3088" t="s">
        <v>2658</v>
      </c>
      <c r="E76" s="3114">
        <v>0.15</v>
      </c>
      <c r="F76" s="3114">
        <v>20</v>
      </c>
    </row>
    <row r="77" spans="1:7" ht="24">
      <c r="A77" s="3114">
        <v>5</v>
      </c>
      <c r="B77" s="3827"/>
      <c r="C77" s="3088" t="s">
        <v>2659</v>
      </c>
      <c r="D77" s="3088" t="s">
        <v>2660</v>
      </c>
      <c r="E77" s="3114">
        <v>0.15</v>
      </c>
      <c r="F77" s="3114">
        <v>20</v>
      </c>
    </row>
    <row r="78" spans="1:7" ht="24">
      <c r="A78" s="3114">
        <v>6</v>
      </c>
      <c r="B78" s="3827"/>
      <c r="C78" s="3088" t="s">
        <v>2661</v>
      </c>
      <c r="D78" s="3088" t="s">
        <v>2662</v>
      </c>
      <c r="E78" s="3114">
        <v>0.15</v>
      </c>
      <c r="F78" s="3114">
        <v>20</v>
      </c>
    </row>
    <row r="79" spans="1:7" ht="24">
      <c r="A79" s="3114">
        <v>7</v>
      </c>
      <c r="B79" s="3827"/>
      <c r="C79" s="3088" t="s">
        <v>2663</v>
      </c>
      <c r="D79" s="3088" t="s">
        <v>2664</v>
      </c>
      <c r="E79" s="3114">
        <v>0.15</v>
      </c>
      <c r="F79" s="3114">
        <v>20</v>
      </c>
    </row>
    <row r="80" spans="1:7" ht="24">
      <c r="A80" s="3114">
        <v>8</v>
      </c>
      <c r="B80" s="3827"/>
      <c r="C80" s="3088" t="s">
        <v>2665</v>
      </c>
      <c r="D80" s="3088" t="s">
        <v>2666</v>
      </c>
      <c r="E80" s="3114">
        <v>0.1</v>
      </c>
      <c r="F80" s="3114">
        <v>15</v>
      </c>
    </row>
    <row r="81" spans="1:6" ht="24">
      <c r="A81" s="3114">
        <v>9</v>
      </c>
      <c r="B81" s="3827"/>
      <c r="C81" s="3088" t="s">
        <v>2667</v>
      </c>
      <c r="D81" s="3088" t="s">
        <v>2668</v>
      </c>
      <c r="E81" s="3114">
        <v>0.1</v>
      </c>
      <c r="F81" s="3114">
        <v>15</v>
      </c>
    </row>
    <row r="82" spans="1:6" ht="24">
      <c r="A82" s="3114">
        <v>10</v>
      </c>
      <c r="B82" s="3827"/>
      <c r="C82" s="3088" t="s">
        <v>2669</v>
      </c>
      <c r="D82" s="3088" t="s">
        <v>2670</v>
      </c>
      <c r="E82" s="3114">
        <v>0.1</v>
      </c>
      <c r="F82" s="3114">
        <v>15</v>
      </c>
    </row>
    <row r="83" spans="1:6" ht="24">
      <c r="A83" s="3114">
        <v>11</v>
      </c>
      <c r="B83" s="3827"/>
      <c r="C83" s="3088" t="s">
        <v>2671</v>
      </c>
      <c r="D83" s="3088" t="s">
        <v>2672</v>
      </c>
      <c r="E83" s="3114">
        <v>0.1</v>
      </c>
      <c r="F83" s="3114">
        <v>15</v>
      </c>
    </row>
    <row r="84" spans="1:6" ht="24">
      <c r="A84" s="3114">
        <v>12</v>
      </c>
      <c r="B84" s="3827"/>
      <c r="C84" s="3088" t="s">
        <v>2673</v>
      </c>
      <c r="D84" s="3088" t="s">
        <v>2674</v>
      </c>
      <c r="E84" s="3114">
        <v>0.1</v>
      </c>
      <c r="F84" s="3114">
        <v>15</v>
      </c>
    </row>
    <row r="85" spans="1:6" ht="13.5">
      <c r="A85" s="3114">
        <v>13</v>
      </c>
      <c r="B85" s="3827"/>
      <c r="C85" s="3088" t="s">
        <v>2675</v>
      </c>
      <c r="D85" s="3088" t="s">
        <v>2676</v>
      </c>
      <c r="E85" s="3114">
        <v>0.1</v>
      </c>
      <c r="F85" s="3114">
        <v>15</v>
      </c>
    </row>
    <row r="86" spans="1:6" ht="13.5">
      <c r="A86" s="3114">
        <v>14</v>
      </c>
      <c r="B86" s="3827"/>
      <c r="C86" s="3088" t="s">
        <v>2677</v>
      </c>
      <c r="D86" s="3088" t="s">
        <v>2678</v>
      </c>
      <c r="E86" s="3114">
        <v>0.1</v>
      </c>
      <c r="F86" s="3114">
        <v>15</v>
      </c>
    </row>
    <row r="87" spans="1:6" ht="13.5">
      <c r="A87" s="3114">
        <v>15</v>
      </c>
      <c r="B87" s="3827"/>
      <c r="C87" s="3088" t="s">
        <v>2679</v>
      </c>
      <c r="D87" s="3088" t="s">
        <v>2680</v>
      </c>
      <c r="E87" s="3114">
        <v>0.1</v>
      </c>
      <c r="F87" s="3114">
        <v>15</v>
      </c>
    </row>
    <row r="88" spans="1:6" ht="24">
      <c r="A88" s="3114">
        <v>16</v>
      </c>
      <c r="B88" s="3827"/>
      <c r="C88" s="3088" t="s">
        <v>2681</v>
      </c>
      <c r="D88" s="3088" t="s">
        <v>2682</v>
      </c>
      <c r="E88" s="3114">
        <v>0.1</v>
      </c>
      <c r="F88" s="3114">
        <v>15</v>
      </c>
    </row>
    <row r="89" spans="1:6" ht="24">
      <c r="A89" s="3114">
        <v>17</v>
      </c>
      <c r="B89" s="3826"/>
      <c r="C89" s="3088" t="s">
        <v>2683</v>
      </c>
      <c r="D89" s="3088" t="s">
        <v>2684</v>
      </c>
      <c r="E89" s="3114">
        <v>0.1</v>
      </c>
      <c r="F89" s="3114">
        <v>15</v>
      </c>
    </row>
    <row r="90" spans="1:6" ht="13.5">
      <c r="A90" s="3114">
        <v>18</v>
      </c>
      <c r="B90" s="3825" t="s">
        <v>2685</v>
      </c>
      <c r="C90" s="3088" t="s">
        <v>2686</v>
      </c>
      <c r="D90" s="3088" t="s">
        <v>2687</v>
      </c>
      <c r="E90" s="3114">
        <v>0.2</v>
      </c>
      <c r="F90" s="3114">
        <v>25</v>
      </c>
    </row>
    <row r="91" spans="1:6" ht="24">
      <c r="A91" s="3114">
        <v>19</v>
      </c>
      <c r="B91" s="3827"/>
      <c r="C91" s="3088" t="s">
        <v>2688</v>
      </c>
      <c r="D91" s="3088" t="s">
        <v>2689</v>
      </c>
      <c r="E91" s="3114">
        <v>0.2</v>
      </c>
      <c r="F91" s="3114">
        <v>25</v>
      </c>
    </row>
    <row r="92" spans="1:6" ht="13.5">
      <c r="A92" s="3114">
        <v>20</v>
      </c>
      <c r="B92" s="3827"/>
      <c r="C92" s="3088" t="s">
        <v>2690</v>
      </c>
      <c r="D92" s="3088" t="s">
        <v>2691</v>
      </c>
      <c r="E92" s="3114">
        <v>0.15</v>
      </c>
      <c r="F92" s="3114">
        <v>20</v>
      </c>
    </row>
    <row r="93" spans="1:6" ht="13.5">
      <c r="A93" s="3114">
        <v>21</v>
      </c>
      <c r="B93" s="3827"/>
      <c r="C93" s="3088" t="s">
        <v>2692</v>
      </c>
      <c r="D93" s="3088" t="s">
        <v>2693</v>
      </c>
      <c r="E93" s="3114">
        <v>0.15</v>
      </c>
      <c r="F93" s="3114">
        <v>20</v>
      </c>
    </row>
    <row r="94" spans="1:6" ht="13.5">
      <c r="A94" s="3114">
        <v>22</v>
      </c>
      <c r="B94" s="3827"/>
      <c r="C94" s="3088" t="s">
        <v>2694</v>
      </c>
      <c r="D94" s="3088" t="s">
        <v>2695</v>
      </c>
      <c r="E94" s="3114">
        <v>0.15</v>
      </c>
      <c r="F94" s="3114">
        <v>20</v>
      </c>
    </row>
    <row r="95" spans="1:6" ht="36">
      <c r="A95" s="3114">
        <v>23</v>
      </c>
      <c r="B95" s="3827"/>
      <c r="C95" s="3088" t="s">
        <v>2696</v>
      </c>
      <c r="D95" s="3088" t="s">
        <v>2697</v>
      </c>
      <c r="E95" s="3114">
        <v>0.15</v>
      </c>
      <c r="F95" s="3114">
        <v>20</v>
      </c>
    </row>
    <row r="96" spans="1:6" ht="13.5">
      <c r="A96" s="3114">
        <v>24</v>
      </c>
      <c r="B96" s="3827"/>
      <c r="C96" s="3088" t="s">
        <v>2698</v>
      </c>
      <c r="D96" s="3088" t="s">
        <v>2699</v>
      </c>
      <c r="E96" s="3114">
        <v>0.1</v>
      </c>
      <c r="F96" s="3114">
        <v>15</v>
      </c>
    </row>
    <row r="97" spans="1:6" ht="13.5">
      <c r="A97" s="3114">
        <v>25</v>
      </c>
      <c r="B97" s="3827"/>
      <c r="C97" s="3088" t="s">
        <v>2700</v>
      </c>
      <c r="D97" s="3088" t="s">
        <v>2701</v>
      </c>
      <c r="E97" s="3114">
        <v>0.1</v>
      </c>
      <c r="F97" s="3114">
        <v>15</v>
      </c>
    </row>
    <row r="98" spans="1:6" ht="24">
      <c r="A98" s="3114">
        <v>26</v>
      </c>
      <c r="B98" s="3827"/>
      <c r="C98" s="3088" t="s">
        <v>2702</v>
      </c>
      <c r="D98" s="3088" t="s">
        <v>2703</v>
      </c>
      <c r="E98" s="3114">
        <v>0.1</v>
      </c>
      <c r="F98" s="3114">
        <v>15</v>
      </c>
    </row>
    <row r="99" spans="1:6" ht="24">
      <c r="A99" s="3114">
        <v>27</v>
      </c>
      <c r="B99" s="3827"/>
      <c r="C99" s="3088" t="s">
        <v>2704</v>
      </c>
      <c r="D99" s="3088" t="s">
        <v>2705</v>
      </c>
      <c r="E99" s="3114">
        <v>0.1</v>
      </c>
      <c r="F99" s="3114">
        <v>15</v>
      </c>
    </row>
    <row r="100" spans="1:6" ht="13.5">
      <c r="A100" s="3114">
        <v>28</v>
      </c>
      <c r="B100" s="3827"/>
      <c r="C100" s="3088" t="s">
        <v>2706</v>
      </c>
      <c r="D100" s="3088" t="s">
        <v>2707</v>
      </c>
      <c r="E100" s="3114">
        <v>0.1</v>
      </c>
      <c r="F100" s="3114">
        <v>15</v>
      </c>
    </row>
    <row r="101" spans="1:6" ht="13.5">
      <c r="A101" s="3114">
        <v>29</v>
      </c>
      <c r="B101" s="3827"/>
      <c r="C101" s="3088" t="s">
        <v>2708</v>
      </c>
      <c r="D101" s="3088" t="s">
        <v>2709</v>
      </c>
      <c r="E101" s="3114">
        <v>0.1</v>
      </c>
      <c r="F101" s="3114">
        <v>15</v>
      </c>
    </row>
    <row r="102" spans="1:6" ht="13.5">
      <c r="A102" s="3114">
        <v>30</v>
      </c>
      <c r="B102" s="3827"/>
      <c r="C102" s="3088" t="s">
        <v>2710</v>
      </c>
      <c r="D102" s="3088" t="s">
        <v>2711</v>
      </c>
      <c r="E102" s="3114">
        <v>0.1</v>
      </c>
      <c r="F102" s="3114">
        <v>15</v>
      </c>
    </row>
    <row r="103" spans="1:6" ht="24">
      <c r="A103" s="3114">
        <v>31</v>
      </c>
      <c r="B103" s="3827"/>
      <c r="C103" s="3088" t="s">
        <v>2712</v>
      </c>
      <c r="D103" s="3088" t="s">
        <v>2713</v>
      </c>
      <c r="E103" s="3114">
        <v>0.1</v>
      </c>
      <c r="F103" s="3114">
        <v>15</v>
      </c>
    </row>
    <row r="104" spans="1:6" ht="24">
      <c r="A104" s="3114">
        <v>32</v>
      </c>
      <c r="B104" s="3827"/>
      <c r="C104" s="3088" t="s">
        <v>2714</v>
      </c>
      <c r="D104" s="3088" t="s">
        <v>2715</v>
      </c>
      <c r="E104" s="3114">
        <v>0.1</v>
      </c>
      <c r="F104" s="3114">
        <v>15</v>
      </c>
    </row>
    <row r="105" spans="1:6" ht="24">
      <c r="A105" s="3114">
        <v>33</v>
      </c>
      <c r="B105" s="3827"/>
      <c r="C105" s="3088" t="s">
        <v>2716</v>
      </c>
      <c r="D105" s="3088" t="s">
        <v>2717</v>
      </c>
      <c r="E105" s="3114">
        <v>0.1</v>
      </c>
      <c r="F105" s="3114">
        <v>15</v>
      </c>
    </row>
    <row r="106" spans="1:6" ht="24">
      <c r="A106" s="3114">
        <v>34</v>
      </c>
      <c r="B106" s="3826"/>
      <c r="C106" s="3088" t="s">
        <v>2718</v>
      </c>
      <c r="D106" s="3088" t="s">
        <v>2719</v>
      </c>
      <c r="E106" s="3114">
        <v>0.1</v>
      </c>
      <c r="F106" s="3114">
        <v>15</v>
      </c>
    </row>
    <row r="107" spans="1:6" ht="24">
      <c r="A107" s="3114">
        <v>35</v>
      </c>
      <c r="B107" s="3825" t="s">
        <v>2720</v>
      </c>
      <c r="C107" s="3114" t="s">
        <v>2721</v>
      </c>
      <c r="D107" s="3088" t="s">
        <v>2722</v>
      </c>
      <c r="E107" s="3114">
        <v>0.15</v>
      </c>
      <c r="F107" s="3114">
        <v>20</v>
      </c>
    </row>
    <row r="108" spans="1:6" ht="13.5">
      <c r="A108" s="3114">
        <v>36</v>
      </c>
      <c r="B108" s="3827"/>
      <c r="C108" s="3114" t="s">
        <v>2723</v>
      </c>
      <c r="D108" s="3088" t="s">
        <v>2724</v>
      </c>
      <c r="E108" s="3114">
        <v>0.15</v>
      </c>
      <c r="F108" s="3114">
        <v>20</v>
      </c>
    </row>
    <row r="109" spans="1:6" ht="13.5">
      <c r="A109" s="3114">
        <v>37</v>
      </c>
      <c r="B109" s="3827"/>
      <c r="C109" s="3114" t="s">
        <v>2725</v>
      </c>
      <c r="D109" s="3088" t="s">
        <v>2726</v>
      </c>
      <c r="E109" s="3114">
        <v>0.15</v>
      </c>
      <c r="F109" s="3114">
        <v>20</v>
      </c>
    </row>
    <row r="110" spans="1:6" ht="13.5">
      <c r="A110" s="3114">
        <v>38</v>
      </c>
      <c r="B110" s="3827"/>
      <c r="C110" s="3114" t="s">
        <v>2727</v>
      </c>
      <c r="D110" s="3088" t="s">
        <v>2728</v>
      </c>
      <c r="E110" s="3114">
        <v>0.1</v>
      </c>
      <c r="F110" s="3114">
        <v>15</v>
      </c>
    </row>
    <row r="111" spans="1:6" ht="24">
      <c r="A111" s="3114">
        <v>39</v>
      </c>
      <c r="B111" s="3827"/>
      <c r="C111" s="3114" t="s">
        <v>2729</v>
      </c>
      <c r="D111" s="3088" t="s">
        <v>2730</v>
      </c>
      <c r="E111" s="3114">
        <v>0.1</v>
      </c>
      <c r="F111" s="3114">
        <v>15</v>
      </c>
    </row>
    <row r="112" spans="1:6" ht="24">
      <c r="A112" s="3114">
        <v>40</v>
      </c>
      <c r="B112" s="3826"/>
      <c r="C112" s="3114" t="s">
        <v>2731</v>
      </c>
      <c r="D112" s="3088" t="s">
        <v>2732</v>
      </c>
      <c r="E112" s="3114">
        <v>0.1</v>
      </c>
      <c r="F112" s="3114">
        <v>15</v>
      </c>
    </row>
    <row r="113" spans="1:6" ht="13.5">
      <c r="A113" s="3114">
        <v>41</v>
      </c>
      <c r="B113" s="3824" t="s">
        <v>2733</v>
      </c>
      <c r="C113" s="3114" t="s">
        <v>2734</v>
      </c>
      <c r="D113" s="3088" t="s">
        <v>2735</v>
      </c>
      <c r="E113" s="3114">
        <v>0.1</v>
      </c>
      <c r="F113" s="3114">
        <v>15</v>
      </c>
    </row>
    <row r="114" spans="1:6" ht="13.5">
      <c r="A114" s="3114">
        <v>42</v>
      </c>
      <c r="B114" s="3824"/>
      <c r="C114" s="3114" t="s">
        <v>2736</v>
      </c>
      <c r="D114" s="3088" t="s">
        <v>2737</v>
      </c>
      <c r="E114" s="3114">
        <v>0.1</v>
      </c>
      <c r="F114" s="3114">
        <v>15</v>
      </c>
    </row>
    <row r="115" spans="1:6" ht="24">
      <c r="A115" s="3114">
        <v>43</v>
      </c>
      <c r="B115" s="3824"/>
      <c r="C115" s="3114" t="s">
        <v>2738</v>
      </c>
      <c r="D115" s="3088" t="s">
        <v>2739</v>
      </c>
      <c r="E115" s="3114">
        <v>0.1</v>
      </c>
      <c r="F115" s="3114">
        <v>15</v>
      </c>
    </row>
    <row r="116" spans="1:6" ht="13.5">
      <c r="A116" s="3114">
        <v>44</v>
      </c>
      <c r="B116" s="3825" t="s">
        <v>2740</v>
      </c>
      <c r="C116" s="3114" t="s">
        <v>2741</v>
      </c>
      <c r="D116" s="3088" t="s">
        <v>2742</v>
      </c>
      <c r="E116" s="3114">
        <v>0.1</v>
      </c>
      <c r="F116" s="3114">
        <v>15</v>
      </c>
    </row>
    <row r="117" spans="1:6" ht="24">
      <c r="A117" s="3114">
        <v>45</v>
      </c>
      <c r="B117" s="3826"/>
      <c r="C117" s="3088" t="s">
        <v>2743</v>
      </c>
      <c r="D117" s="3088" t="s">
        <v>2744</v>
      </c>
      <c r="E117" s="3114">
        <v>0.1</v>
      </c>
      <c r="F117" s="3114">
        <v>15</v>
      </c>
    </row>
    <row r="118" spans="1:6" ht="24">
      <c r="A118" s="3114">
        <v>46</v>
      </c>
      <c r="B118" s="3825" t="s">
        <v>2745</v>
      </c>
      <c r="C118" s="3114" t="s">
        <v>2746</v>
      </c>
      <c r="D118" s="3088" t="s">
        <v>2747</v>
      </c>
      <c r="E118" s="3114">
        <v>0.1</v>
      </c>
      <c r="F118" s="3114">
        <v>15</v>
      </c>
    </row>
    <row r="119" spans="1:6" ht="24">
      <c r="A119" s="3114">
        <v>47</v>
      </c>
      <c r="B119" s="3826"/>
      <c r="C119" s="3114" t="s">
        <v>2748</v>
      </c>
      <c r="D119" s="3088" t="s">
        <v>2749</v>
      </c>
      <c r="E119" s="3114">
        <v>0.1</v>
      </c>
      <c r="F119" s="3114">
        <v>15</v>
      </c>
    </row>
    <row r="120" spans="1:6" ht="13.5">
      <c r="A120" s="3114">
        <v>48</v>
      </c>
      <c r="B120" s="3825" t="s">
        <v>2750</v>
      </c>
      <c r="C120" s="3114" t="s">
        <v>2751</v>
      </c>
      <c r="D120" s="3088" t="s">
        <v>2752</v>
      </c>
      <c r="E120" s="3114">
        <v>0.1</v>
      </c>
      <c r="F120" s="3114">
        <v>15</v>
      </c>
    </row>
    <row r="121" spans="1:6" ht="13.5">
      <c r="A121" s="3114">
        <v>49</v>
      </c>
      <c r="B121" s="3826"/>
      <c r="C121" s="3114" t="s">
        <v>2753</v>
      </c>
      <c r="D121" s="3088" t="s">
        <v>2754</v>
      </c>
      <c r="E121" s="3114">
        <v>0.1</v>
      </c>
      <c r="F121" s="3114">
        <v>15</v>
      </c>
    </row>
    <row r="122" spans="1:6" ht="24">
      <c r="A122" s="3114">
        <v>50</v>
      </c>
      <c r="B122" s="3824" t="s">
        <v>2755</v>
      </c>
      <c r="C122" s="3114" t="s">
        <v>2756</v>
      </c>
      <c r="D122" s="3088" t="s">
        <v>2757</v>
      </c>
      <c r="E122" s="3114">
        <v>0.1</v>
      </c>
      <c r="F122" s="3114">
        <v>15</v>
      </c>
    </row>
    <row r="123" spans="1:6" ht="24">
      <c r="A123" s="3114">
        <v>51</v>
      </c>
      <c r="B123" s="3824"/>
      <c r="C123" s="3114" t="s">
        <v>2758</v>
      </c>
      <c r="D123" s="3088" t="s">
        <v>2759</v>
      </c>
      <c r="E123" s="3114">
        <v>0.1</v>
      </c>
      <c r="F123" s="3114">
        <v>15</v>
      </c>
    </row>
    <row r="124" spans="1:6" ht="24">
      <c r="A124" s="3114">
        <v>52</v>
      </c>
      <c r="B124" s="3824" t="s">
        <v>2760</v>
      </c>
      <c r="C124" s="3114" t="s">
        <v>2761</v>
      </c>
      <c r="D124" s="3088" t="s">
        <v>2762</v>
      </c>
      <c r="E124" s="3114">
        <v>0.1</v>
      </c>
      <c r="F124" s="3114">
        <v>15</v>
      </c>
    </row>
    <row r="125" spans="1:6" ht="24">
      <c r="A125" s="3114">
        <v>53</v>
      </c>
      <c r="B125" s="3824"/>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24" t="s">
        <v>2768</v>
      </c>
      <c r="C127" s="3114" t="s">
        <v>2769</v>
      </c>
      <c r="D127" s="3088" t="s">
        <v>2770</v>
      </c>
      <c r="E127" s="3114">
        <v>0.1</v>
      </c>
      <c r="F127" s="3114">
        <v>15</v>
      </c>
    </row>
    <row r="128" spans="1:6" ht="13.5">
      <c r="A128" s="3114">
        <v>56</v>
      </c>
      <c r="B128" s="3824"/>
      <c r="C128" s="3114" t="s">
        <v>2771</v>
      </c>
      <c r="D128" s="3088" t="s">
        <v>2772</v>
      </c>
      <c r="E128" s="3114">
        <v>0.1</v>
      </c>
      <c r="F128" s="3114">
        <v>15</v>
      </c>
    </row>
    <row r="129" spans="1:6" ht="24">
      <c r="A129" s="3114">
        <v>57</v>
      </c>
      <c r="B129" s="3824"/>
      <c r="C129" s="3114" t="s">
        <v>2773</v>
      </c>
      <c r="D129" s="3088" t="s">
        <v>2774</v>
      </c>
      <c r="E129" s="3114">
        <v>0.1</v>
      </c>
      <c r="F129" s="3114">
        <v>15</v>
      </c>
    </row>
    <row r="130" spans="1:6" ht="24">
      <c r="A130" s="3114">
        <v>58</v>
      </c>
      <c r="B130" s="3824" t="s">
        <v>2775</v>
      </c>
      <c r="C130" s="3114" t="s">
        <v>2776</v>
      </c>
      <c r="D130" s="3088" t="s">
        <v>2777</v>
      </c>
      <c r="E130" s="3114">
        <v>0.1</v>
      </c>
      <c r="F130" s="3114">
        <v>15</v>
      </c>
    </row>
    <row r="131" spans="1:6" ht="13.5">
      <c r="A131" s="3114">
        <v>59</v>
      </c>
      <c r="B131" s="3824"/>
      <c r="C131" s="3114" t="s">
        <v>2778</v>
      </c>
      <c r="D131" s="3088" t="s">
        <v>2779</v>
      </c>
      <c r="E131" s="3114">
        <v>0.1</v>
      </c>
      <c r="F131" s="3114">
        <v>15</v>
      </c>
    </row>
    <row r="132" spans="1:6" ht="13.5">
      <c r="A132" s="3114">
        <v>60</v>
      </c>
      <c r="B132" s="3825" t="s">
        <v>2780</v>
      </c>
      <c r="C132" s="3114" t="s">
        <v>2781</v>
      </c>
      <c r="D132" s="3088" t="s">
        <v>2782</v>
      </c>
      <c r="E132" s="3114">
        <v>0.1</v>
      </c>
      <c r="F132" s="3114">
        <v>15</v>
      </c>
    </row>
    <row r="133" spans="1:6" ht="13.5">
      <c r="A133" s="3114">
        <v>61</v>
      </c>
      <c r="B133" s="3826"/>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24" t="s">
        <v>2788</v>
      </c>
      <c r="C135" s="3114" t="s">
        <v>2789</v>
      </c>
      <c r="D135" s="3088" t="s">
        <v>2790</v>
      </c>
      <c r="E135" s="3114">
        <v>0.1</v>
      </c>
      <c r="F135" s="3114">
        <v>15</v>
      </c>
    </row>
    <row r="136" spans="1:6" ht="13.5">
      <c r="A136" s="3114">
        <v>64</v>
      </c>
      <c r="B136" s="3824"/>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2797</v>
      </c>
      <c r="B1" s="3123"/>
      <c r="C1" s="3123"/>
      <c r="D1" s="3123"/>
      <c r="E1" s="3123"/>
      <c r="F1" s="3123"/>
      <c r="G1" s="3123"/>
      <c r="H1" s="3123"/>
      <c r="I1" s="3123"/>
      <c r="J1" s="3123"/>
      <c r="K1" s="3123"/>
      <c r="L1" s="3123"/>
      <c r="M1" s="3123"/>
      <c r="N1" s="745"/>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6">
        <f>SUMPRODUCT((A95:A184=ROUNDDOWN(基准地价修正!G3,1))*(B94:M94=基准地价修正!G2)*(B95:M184))</f>
        <v>1.2302</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6">
        <f>SUMPRODUCT((A371:A460=ROUNDDOWN(基准地价修正!G3,1))*(B370:M370=基准地价修正!G2)*(B371:M460))</f>
        <v>1.1198999999999999</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31579</v>
      </c>
      <c r="C2" s="2" t="s">
        <v>106</v>
      </c>
      <c r="D2" s="199"/>
      <c r="E2" s="199"/>
      <c r="F2" s="199"/>
      <c r="G2" s="199"/>
    </row>
    <row r="3" spans="1:7" s="200" customFormat="1" ht="18" customHeight="1" thickBot="1">
      <c r="A3" s="203" t="s">
        <v>58</v>
      </c>
      <c r="B3" s="204">
        <f ca="1">ROUND(B2*10000/'数据-汇总表'!E3,0)</f>
        <v>15611</v>
      </c>
      <c r="C3" s="2" t="s">
        <v>107</v>
      </c>
      <c r="D3" s="199"/>
      <c r="E3" s="199"/>
      <c r="F3" s="199"/>
      <c r="G3" s="199"/>
    </row>
    <row r="4" spans="1:7" s="208" customFormat="1" ht="15.75">
      <c r="A4" s="205" t="s">
        <v>59</v>
      </c>
      <c r="B4" s="206"/>
      <c r="C4" s="206"/>
      <c r="D4" s="206"/>
      <c r="E4" s="206"/>
      <c r="F4" s="206"/>
      <c r="G4" s="207"/>
    </row>
    <row r="5" spans="1:7" s="214" customFormat="1" ht="13.5" customHeight="1">
      <c r="A5" s="255" t="s">
        <v>415</v>
      </c>
      <c r="B5" s="210" t="s">
        <v>60</v>
      </c>
      <c r="C5" s="211">
        <f>C6+C7+C8</f>
        <v>20610</v>
      </c>
      <c r="D5" s="211" t="s">
        <v>61</v>
      </c>
      <c r="E5" s="212" t="s">
        <v>62</v>
      </c>
      <c r="F5" s="212" t="s">
        <v>63</v>
      </c>
      <c r="G5" s="213"/>
    </row>
    <row r="6" spans="1:7" s="214" customFormat="1" ht="13.5" customHeight="1">
      <c r="A6" s="774" t="s">
        <v>345</v>
      </c>
      <c r="B6" s="215" t="s">
        <v>64</v>
      </c>
      <c r="C6" s="216">
        <v>20000</v>
      </c>
      <c r="D6" s="217"/>
      <c r="E6" s="218"/>
      <c r="F6" s="218"/>
      <c r="G6" s="219"/>
    </row>
    <row r="7" spans="1:7" s="214" customFormat="1" ht="13.5" customHeight="1">
      <c r="A7" s="774" t="s">
        <v>346</v>
      </c>
      <c r="B7" s="215" t="s">
        <v>30</v>
      </c>
      <c r="C7" s="220">
        <f>ROUND(C6*F7,0)</f>
        <v>610</v>
      </c>
      <c r="D7" s="220"/>
      <c r="E7" s="218"/>
      <c r="F7" s="221">
        <f>'数据-取费表'!B48+'数据-取费表'!B49</f>
        <v>3.0499999999999999E-2</v>
      </c>
      <c r="G7" s="219"/>
    </row>
    <row r="8" spans="1:7" s="223" customFormat="1">
      <c r="A8" s="774" t="s">
        <v>347</v>
      </c>
      <c r="B8" s="215" t="s">
        <v>65</v>
      </c>
      <c r="C8" s="220" t="str">
        <f>IF(G8="已包含在土地购买价格中","0",'数据-取费表'!B29)</f>
        <v>0</v>
      </c>
      <c r="D8" s="222"/>
      <c r="E8" s="220"/>
      <c r="F8" s="221"/>
      <c r="G8" s="1" t="s">
        <v>450</v>
      </c>
    </row>
    <row r="9" spans="1:7" s="214" customFormat="1" ht="13.5" customHeight="1">
      <c r="A9" s="775" t="s">
        <v>354</v>
      </c>
      <c r="B9" s="224" t="s">
        <v>66</v>
      </c>
      <c r="C9" s="225">
        <f>ROUND(D9*E9/10000,0)</f>
        <v>0</v>
      </c>
      <c r="D9" s="841">
        <f>'数据-汇总表'!E5</f>
        <v>0</v>
      </c>
      <c r="E9" s="225">
        <f>'数据-取费表'!B27</f>
        <v>0</v>
      </c>
      <c r="F9" s="221"/>
      <c r="G9" s="226"/>
    </row>
    <row r="10" spans="1:7" s="214" customFormat="1" ht="13.5" customHeight="1">
      <c r="A10" s="775" t="s">
        <v>355</v>
      </c>
      <c r="B10" s="224" t="s">
        <v>67</v>
      </c>
      <c r="C10" s="225">
        <f>ROUND(D10*E10/10000,0)</f>
        <v>405</v>
      </c>
      <c r="D10" s="841">
        <f>'数据-汇总表'!E6</f>
        <v>20228.239999999998</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416</v>
      </c>
      <c r="B19" s="210" t="s">
        <v>84</v>
      </c>
      <c r="C19" s="211">
        <f>IF(G19="已包含在土地取得成本中","0",ROUND(D19*E19/10000,0))</f>
        <v>405</v>
      </c>
      <c r="D19" s="845">
        <f>'数据-汇总表'!E3</f>
        <v>20228.239999999998</v>
      </c>
      <c r="E19" s="211">
        <f>'数据-取费表'!B31</f>
        <v>200</v>
      </c>
      <c r="F19" s="231"/>
      <c r="G19" s="1" t="s">
        <v>435</v>
      </c>
    </row>
    <row r="20" spans="1:7" s="214" customFormat="1" ht="13.5" customHeight="1">
      <c r="A20" s="773" t="s">
        <v>418</v>
      </c>
      <c r="B20" s="210" t="s">
        <v>77</v>
      </c>
      <c r="C20" s="232">
        <f>ROUND((C5+C19)*F20,0)</f>
        <v>420</v>
      </c>
      <c r="D20" s="232"/>
      <c r="E20" s="232"/>
      <c r="F20" s="233">
        <f>'数据-取费表'!B37</f>
        <v>0.02</v>
      </c>
      <c r="G20" s="1063" t="s">
        <v>429</v>
      </c>
    </row>
    <row r="21" spans="1:7" s="214" customFormat="1" ht="13.5" customHeight="1">
      <c r="A21" s="773" t="s">
        <v>420</v>
      </c>
      <c r="B21" s="210" t="s">
        <v>78</v>
      </c>
      <c r="C21" s="235">
        <f>F21</f>
        <v>0.02</v>
      </c>
      <c r="D21" s="236" t="s">
        <v>99</v>
      </c>
      <c r="E21" s="232"/>
      <c r="F21" s="233">
        <f>'数据-取费表'!B38</f>
        <v>0.02</v>
      </c>
      <c r="G21" s="234" t="s">
        <v>79</v>
      </c>
    </row>
    <row r="22" spans="1:7" s="214" customFormat="1" ht="13.5" customHeight="1">
      <c r="A22" s="773" t="s">
        <v>340</v>
      </c>
      <c r="B22" s="210" t="s">
        <v>80</v>
      </c>
      <c r="C22" s="1100">
        <f ca="1">ROUND(SUM(C23:C25),0)</f>
        <v>1108</v>
      </c>
      <c r="D22" s="235">
        <f ca="1">C26</f>
        <v>5.0000000000000001E-4</v>
      </c>
      <c r="E22" s="236" t="s">
        <v>99</v>
      </c>
      <c r="F22" s="237">
        <f ca="1">'数据-取费表'!B40</f>
        <v>3.4500000000000003E-2</v>
      </c>
      <c r="G22" s="1063" t="str">
        <f>IF('数据-取费表'!B22&lt;=1,"单利计息","复利计息")</f>
        <v>复利计息</v>
      </c>
    </row>
    <row r="23" spans="1:7" s="214" customFormat="1" ht="13.5" customHeight="1">
      <c r="A23" s="776" t="s">
        <v>348</v>
      </c>
      <c r="B23" s="215" t="s">
        <v>422</v>
      </c>
      <c r="C23" s="1101">
        <f ca="1">ROUND(IF('数据-取费表'!B22&lt;=1,C5*F22*'数据-取费表'!B23,C5*(POWER((1+F22),'数据-取费表'!B23)-1)),0)</f>
        <v>1076</v>
      </c>
      <c r="D23" s="238"/>
      <c r="E23" s="238"/>
      <c r="F23" s="239"/>
      <c r="G23" s="240" t="s">
        <v>81</v>
      </c>
    </row>
    <row r="24" spans="1:7" s="214" customFormat="1" ht="13.5" customHeight="1">
      <c r="A24" s="776" t="s">
        <v>346</v>
      </c>
      <c r="B24" s="215" t="s">
        <v>417</v>
      </c>
      <c r="C24" s="1101">
        <f ca="1">ROUND(IF('数据-取费表'!B22&lt;=1,C19*F22*('数据-取费表'!B19/2+'数据-取费表'!B21),C19*(POWER((1+F22),('数据-取费表'!B19/2+'数据-取费表'!B21))-1)),0)</f>
        <v>21</v>
      </c>
      <c r="D24" s="238"/>
      <c r="E24" s="238"/>
      <c r="F24" s="239"/>
      <c r="G24" s="240" t="s">
        <v>82</v>
      </c>
    </row>
    <row r="25" spans="1:7" s="214" customFormat="1" ht="24">
      <c r="A25" s="776" t="s">
        <v>347</v>
      </c>
      <c r="B25" s="215" t="s">
        <v>419</v>
      </c>
      <c r="C25" s="1101">
        <f ca="1">ROUND(IF('数据-取费表'!B22&lt;=1,C20*F22*'数据-取费表'!B23/2,C20*(POWER((1+F22),'数据-取费表'!B23/2)-1)),0)</f>
        <v>11</v>
      </c>
      <c r="D25" s="238"/>
      <c r="E25" s="241"/>
      <c r="F25" s="239"/>
      <c r="G25" s="242" t="s">
        <v>83</v>
      </c>
    </row>
    <row r="26" spans="1:7" s="214" customFormat="1">
      <c r="A26" s="776" t="s">
        <v>349</v>
      </c>
      <c r="B26" s="215" t="s">
        <v>421</v>
      </c>
      <c r="C26" s="238">
        <f ca="1">ROUND(IF('数据-取费表'!B22&lt;=1,F21*F22*'数据-取费表'!B23/2,F21*(POWER((1+F22),'数据-取费表'!B23/2)-1)),4)</f>
        <v>5.0000000000000001E-4</v>
      </c>
      <c r="D26" s="238"/>
      <c r="E26" s="241"/>
      <c r="F26" s="239"/>
      <c r="G26" s="243"/>
    </row>
    <row r="27" spans="1:7" s="214" customFormat="1" ht="24.75">
      <c r="A27" s="773" t="s">
        <v>341</v>
      </c>
      <c r="B27" s="244" t="s">
        <v>85</v>
      </c>
      <c r="C27" s="245">
        <f>C28</f>
        <v>2144</v>
      </c>
      <c r="D27" s="235">
        <f>C29</f>
        <v>2E-3</v>
      </c>
      <c r="E27" s="236" t="s">
        <v>99</v>
      </c>
      <c r="F27" s="246">
        <f>'数据-取费表'!Q16</f>
        <v>0.1</v>
      </c>
      <c r="G27" s="247" t="s">
        <v>430</v>
      </c>
    </row>
    <row r="28" spans="1:7" s="214" customFormat="1" ht="13.5" customHeight="1">
      <c r="A28" s="776" t="s">
        <v>348</v>
      </c>
      <c r="B28" s="248" t="s">
        <v>423</v>
      </c>
      <c r="C28" s="249">
        <f>ROUND((C5+C19+C20)*F27*'数据-取费表'!B21/'数据-取费表'!B20,0)</f>
        <v>2144</v>
      </c>
      <c r="D28" s="235"/>
      <c r="E28" s="236"/>
      <c r="F28" s="246"/>
      <c r="G28" s="247"/>
    </row>
    <row r="29" spans="1:7" s="214" customFormat="1" ht="13.5" customHeight="1">
      <c r="A29" s="776" t="s">
        <v>346</v>
      </c>
      <c r="B29" s="248" t="s">
        <v>424</v>
      </c>
      <c r="C29" s="238">
        <f>ROUND(C21*F27*'数据-取费表'!B21/'数据-取费表'!B20,4)</f>
        <v>2E-3</v>
      </c>
      <c r="D29" s="235"/>
      <c r="E29" s="236"/>
      <c r="F29" s="246"/>
      <c r="G29" s="247"/>
    </row>
    <row r="30" spans="1:7" s="214" customFormat="1" ht="13.5" customHeight="1">
      <c r="A30" s="773" t="s">
        <v>342</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26685</v>
      </c>
      <c r="D31" s="230"/>
      <c r="E31" s="211"/>
      <c r="F31" s="250"/>
      <c r="G31" s="234" t="s">
        <v>431</v>
      </c>
    </row>
    <row r="32" spans="1:7" s="208" customFormat="1" ht="15.75">
      <c r="A32" s="252" t="s">
        <v>87</v>
      </c>
      <c r="B32" s="253"/>
      <c r="C32" s="253"/>
      <c r="D32" s="253"/>
      <c r="E32" s="253"/>
      <c r="F32" s="253"/>
      <c r="G32" s="254"/>
    </row>
    <row r="33" spans="1:7" s="214" customFormat="1" ht="13.5" customHeight="1">
      <c r="A33" s="255" t="s">
        <v>336</v>
      </c>
      <c r="B33" s="210" t="s">
        <v>88</v>
      </c>
      <c r="C33" s="256">
        <f>SUM(C34:C38)</f>
        <v>5715</v>
      </c>
      <c r="D33" s="232"/>
      <c r="E33" s="212"/>
      <c r="F33" s="241"/>
      <c r="G33" s="234"/>
    </row>
    <row r="34" spans="1:7" s="258" customFormat="1" ht="13.5" customHeight="1">
      <c r="A34" s="776" t="s">
        <v>348</v>
      </c>
      <c r="B34" s="215" t="s">
        <v>32</v>
      </c>
      <c r="C34" s="220">
        <f>IF(F34=100%,'数据-取费表'!M16-SUMIF('数据-取费表'!C:C,"公共配套",'数据-取费表'!M:M),'数据-取费表'!O16-SUMIF('数据-取费表'!C:C,"公共配套",'数据-取费表'!O:O))</f>
        <v>5057</v>
      </c>
      <c r="D34" s="217"/>
      <c r="E34" s="220"/>
      <c r="F34" s="257">
        <f>IF('数据-取费表'!B24=0,1,'数据-取费表'!N16)</f>
        <v>1</v>
      </c>
      <c r="G34" s="219" t="s">
        <v>89</v>
      </c>
    </row>
    <row r="35" spans="1:7" ht="13.5" customHeight="1">
      <c r="A35" s="776" t="s">
        <v>350</v>
      </c>
      <c r="B35" s="215" t="s">
        <v>33</v>
      </c>
      <c r="C35" s="220">
        <f>ROUND(C34*F35,0)</f>
        <v>152</v>
      </c>
      <c r="D35" s="220"/>
      <c r="E35" s="220"/>
      <c r="F35" s="259">
        <f>'数据-取费表'!B33</f>
        <v>0.03</v>
      </c>
      <c r="G35" s="219" t="s">
        <v>90</v>
      </c>
    </row>
    <row r="36" spans="1:7" ht="24">
      <c r="A36" s="776"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352</v>
      </c>
      <c r="B37" s="215" t="s">
        <v>91</v>
      </c>
      <c r="C37" s="249">
        <f>ROUND(E37*D37*F34/10000,0)</f>
        <v>405</v>
      </c>
      <c r="D37" s="217">
        <f>'数据-汇总表'!E3</f>
        <v>20228.239999999998</v>
      </c>
      <c r="E37" s="249">
        <f>'数据-取费表'!B35</f>
        <v>200</v>
      </c>
      <c r="F37" s="259"/>
      <c r="G37" s="261" t="s">
        <v>92</v>
      </c>
    </row>
    <row r="38" spans="1:7" ht="13.5" customHeight="1">
      <c r="A38" s="776" t="s">
        <v>353</v>
      </c>
      <c r="B38" s="215" t="s">
        <v>36</v>
      </c>
      <c r="C38" s="220">
        <f>ROUND(C34*F38,0)</f>
        <v>101</v>
      </c>
      <c r="D38" s="220"/>
      <c r="E38" s="220"/>
      <c r="F38" s="259">
        <f>'数据-取费表'!B36</f>
        <v>0.02</v>
      </c>
      <c r="G38" s="219" t="s">
        <v>90</v>
      </c>
    </row>
    <row r="39" spans="1:7" s="214" customFormat="1" ht="13.5" customHeight="1">
      <c r="A39" s="773" t="s">
        <v>337</v>
      </c>
      <c r="B39" s="210" t="s">
        <v>77</v>
      </c>
      <c r="C39" s="232">
        <f>ROUND(C33*F20,0)</f>
        <v>114</v>
      </c>
      <c r="D39" s="232"/>
      <c r="E39" s="232"/>
      <c r="F39" s="233"/>
      <c r="G39" s="1063" t="s">
        <v>432</v>
      </c>
    </row>
    <row r="40" spans="1:7" s="214" customFormat="1" ht="13.5" customHeight="1">
      <c r="A40" s="773" t="s">
        <v>338</v>
      </c>
      <c r="B40" s="210" t="s">
        <v>78</v>
      </c>
      <c r="C40" s="262">
        <f>F21</f>
        <v>0.02</v>
      </c>
      <c r="D40" s="236" t="s">
        <v>102</v>
      </c>
      <c r="E40" s="232"/>
      <c r="F40" s="233"/>
      <c r="G40" s="234" t="s">
        <v>93</v>
      </c>
    </row>
    <row r="41" spans="1:7" s="214" customFormat="1" ht="13.5" customHeight="1">
      <c r="A41" s="773" t="s">
        <v>339</v>
      </c>
      <c r="B41" s="210" t="s">
        <v>80</v>
      </c>
      <c r="C41" s="232">
        <f ca="1">ROUND(SUM(C42:C43),0)</f>
        <v>150</v>
      </c>
      <c r="D41" s="235">
        <f ca="1">C44</f>
        <v>5.0000000000000001E-4</v>
      </c>
      <c r="E41" s="236" t="s">
        <v>102</v>
      </c>
      <c r="F41" s="237"/>
      <c r="G41" s="1063" t="str">
        <f>IF('数据-取费表'!B22&lt;=1,"单利计息","复利计息")</f>
        <v>复利计息</v>
      </c>
    </row>
    <row r="42" spans="1:7" ht="13.5" customHeight="1">
      <c r="A42" s="776" t="s">
        <v>348</v>
      </c>
      <c r="B42" s="215" t="s">
        <v>422</v>
      </c>
      <c r="C42" s="238">
        <f ca="1">ROUND(IF('数据-取费表'!B22&lt;=1,C33*F22*'数据-取费表'!B21/2,C33*(POWER((1+F22),'数据-取费表'!B21/2)-1)),0)</f>
        <v>147</v>
      </c>
      <c r="D42" s="238"/>
      <c r="E42" s="238"/>
      <c r="F42" s="239"/>
      <c r="G42" s="3700" t="s">
        <v>94</v>
      </c>
    </row>
    <row r="43" spans="1:7" ht="13.5" customHeight="1">
      <c r="A43" s="776" t="s">
        <v>346</v>
      </c>
      <c r="B43" s="215" t="s">
        <v>425</v>
      </c>
      <c r="C43" s="238">
        <f ca="1">ROUND(IF('数据-取费表'!B22&lt;=1,C39*F22*'数据-取费表'!B21/2,C39*(POWER((1+F22),'数据-取费表'!B21/2)-1)),0)</f>
        <v>3</v>
      </c>
      <c r="D43" s="238"/>
      <c r="E43" s="238"/>
      <c r="F43" s="239"/>
      <c r="G43" s="3701"/>
    </row>
    <row r="44" spans="1:7" ht="13.5" customHeight="1">
      <c r="A44" s="776" t="s">
        <v>347</v>
      </c>
      <c r="B44" s="215" t="s">
        <v>427</v>
      </c>
      <c r="C44" s="238">
        <f ca="1">ROUND(IF('数据-取费表'!B22&lt;=1,C40*F22*'数据-取费表'!B21/2,C40*(POWER((1+F22),'数据-取费表'!B21/2)-1)),4)</f>
        <v>5.0000000000000001E-4</v>
      </c>
      <c r="D44" s="238"/>
      <c r="E44" s="238"/>
      <c r="F44" s="239"/>
      <c r="G44" s="3702"/>
    </row>
    <row r="45" spans="1:7" s="214" customFormat="1" ht="13.5" customHeight="1">
      <c r="A45" s="773" t="s">
        <v>340</v>
      </c>
      <c r="B45" s="244" t="s">
        <v>85</v>
      </c>
      <c r="C45" s="245">
        <f>C46</f>
        <v>583</v>
      </c>
      <c r="D45" s="235">
        <f>C47</f>
        <v>2E-3</v>
      </c>
      <c r="E45" s="236" t="s">
        <v>102</v>
      </c>
      <c r="F45" s="246"/>
      <c r="G45" s="247" t="s">
        <v>433</v>
      </c>
    </row>
    <row r="46" spans="1:7" s="214" customFormat="1" ht="13.5" customHeight="1">
      <c r="A46" s="776" t="s">
        <v>348</v>
      </c>
      <c r="B46" s="248" t="s">
        <v>426</v>
      </c>
      <c r="C46" s="249">
        <f>ROUND((C33+C39)*F27,0)</f>
        <v>583</v>
      </c>
      <c r="D46" s="263"/>
      <c r="E46" s="236"/>
      <c r="F46" s="246"/>
      <c r="G46" s="247"/>
    </row>
    <row r="47" spans="1:7" s="214" customFormat="1" ht="13.5" customHeight="1">
      <c r="A47" s="776" t="s">
        <v>346</v>
      </c>
      <c r="B47" s="248" t="s">
        <v>428</v>
      </c>
      <c r="C47" s="238">
        <f>ROUND(C40*F27,4)</f>
        <v>2E-3</v>
      </c>
      <c r="D47" s="263"/>
      <c r="E47" s="236"/>
      <c r="F47" s="246"/>
      <c r="G47" s="247"/>
    </row>
    <row r="48" spans="1:7" s="214" customFormat="1" ht="13.5" customHeight="1">
      <c r="A48" s="773" t="s">
        <v>341</v>
      </c>
      <c r="B48" s="210" t="s">
        <v>95</v>
      </c>
      <c r="C48" s="262">
        <f>F30</f>
        <v>5.5000000000000007E-2</v>
      </c>
      <c r="D48" s="236" t="s">
        <v>103</v>
      </c>
      <c r="E48" s="232"/>
      <c r="F48" s="237"/>
      <c r="G48" s="234" t="s">
        <v>96</v>
      </c>
    </row>
    <row r="49" spans="1:7" ht="16.5" customHeight="1">
      <c r="A49" s="773" t="s">
        <v>342</v>
      </c>
      <c r="B49" s="210" t="s">
        <v>104</v>
      </c>
      <c r="C49" s="232">
        <f ca="1">ROUND((C33+C39+C41+C45)/(1-C40-D41-D45-C48/(1+'数据-取费表'!B42)),0)</f>
        <v>7093</v>
      </c>
      <c r="D49" s="232"/>
      <c r="E49" s="232"/>
      <c r="F49" s="264"/>
      <c r="G49" s="234" t="s">
        <v>434</v>
      </c>
    </row>
    <row r="50" spans="1:7" s="258" customFormat="1" ht="24">
      <c r="A50" s="773" t="s">
        <v>343</v>
      </c>
      <c r="B50" s="210" t="s">
        <v>97</v>
      </c>
      <c r="C50" s="232"/>
      <c r="D50" s="232"/>
      <c r="E50" s="232"/>
      <c r="F50" s="264">
        <f>IF('数据-取费表'!B24=0,'数据-取费表'!N16,1)</f>
        <v>0.69</v>
      </c>
      <c r="G50" s="247" t="s">
        <v>98</v>
      </c>
    </row>
    <row r="51" spans="1:7" ht="16.5" customHeight="1">
      <c r="A51" s="773" t="s">
        <v>344</v>
      </c>
      <c r="B51" s="210" t="s">
        <v>105</v>
      </c>
      <c r="C51" s="232">
        <f ca="1">ROUND(C49*F50,0)</f>
        <v>4894</v>
      </c>
      <c r="D51" s="232"/>
      <c r="E51" s="232"/>
      <c r="F51" s="264"/>
      <c r="G51" s="234" t="s">
        <v>37</v>
      </c>
    </row>
    <row r="52" spans="1:7" s="208" customFormat="1" ht="16.5" thickBot="1">
      <c r="A52" s="265" t="s">
        <v>38</v>
      </c>
      <c r="B52" s="266"/>
      <c r="C52" s="267">
        <f ca="1">C31+C51</f>
        <v>31579</v>
      </c>
      <c r="D52" s="266"/>
      <c r="E52" s="266"/>
      <c r="F52" s="266"/>
      <c r="G52" s="268"/>
    </row>
    <row r="55" spans="1:7" ht="15">
      <c r="B55" s="270" t="s">
        <v>39</v>
      </c>
      <c r="C55" s="271"/>
    </row>
    <row r="56" spans="1:7">
      <c r="B56" s="273" t="s">
        <v>40</v>
      </c>
      <c r="C56" s="274">
        <f ca="1">ROUND(C51/C52,3)</f>
        <v>0.155</v>
      </c>
    </row>
    <row r="57" spans="1:7">
      <c r="B57" s="273" t="s">
        <v>41</v>
      </c>
      <c r="C57" s="275">
        <f ca="1">1-C56</f>
        <v>0.84499999999999997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49" customWidth="1"/>
    <col min="12" max="12" width="9.75" customWidth="1"/>
    <col min="14" max="14" width="13.75" customWidth="1"/>
    <col min="15" max="15" width="20" customWidth="1"/>
    <col min="16" max="17" width="19.25" customWidth="1"/>
    <col min="18" max="18" width="9.625" customWidth="1"/>
  </cols>
  <sheetData>
    <row r="3" spans="11:11" s="3450" customFormat="1">
      <c r="K3" s="3451"/>
    </row>
    <row r="4" spans="11:11" s="3450" customFormat="1">
      <c r="K4" s="3451"/>
    </row>
    <row r="5" spans="11:11" s="3450" customFormat="1">
      <c r="K5" s="3451"/>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t="s">
        <v>3449</v>
      </c>
      <c r="D1" s="1743"/>
      <c r="E1" s="1743"/>
      <c r="F1" s="1745" t="s">
        <v>1260</v>
      </c>
      <c r="G1" s="1557"/>
      <c r="H1" s="1746" t="str">
        <f>IF(G1="现房","——","估价对象范围")</f>
        <v>估价对象范围</v>
      </c>
      <c r="I1" s="1747"/>
    </row>
    <row r="2" spans="1:12" ht="21.75" customHeight="1" thickBot="1">
      <c r="A2" s="3640" t="str">
        <f>项目基本情况!S2</f>
        <v>北京市房地产</v>
      </c>
      <c r="B2" s="3641"/>
      <c r="C2" s="3641"/>
      <c r="D2" s="3641"/>
      <c r="E2" s="3641"/>
      <c r="F2" s="3641"/>
      <c r="G2" s="3641"/>
      <c r="H2" s="3641"/>
      <c r="I2" s="3642"/>
    </row>
    <row r="3" spans="1:12" ht="12.75">
      <c r="A3" s="3644" t="s">
        <v>1261</v>
      </c>
      <c r="B3" s="3645"/>
      <c r="C3" s="3645"/>
      <c r="D3" s="3645"/>
      <c r="E3" s="3645"/>
      <c r="F3" s="3645"/>
      <c r="G3" s="3645"/>
      <c r="H3" s="3645"/>
      <c r="I3" s="3645"/>
    </row>
    <row r="4" spans="1:12" ht="14.25">
      <c r="A4" s="1750" t="s">
        <v>1262</v>
      </c>
      <c r="B4" s="1751" t="s">
        <v>1263</v>
      </c>
      <c r="C4" s="1752" t="s">
        <v>3454</v>
      </c>
      <c r="D4" s="1752" t="s">
        <v>3450</v>
      </c>
      <c r="E4" s="3646" t="s">
        <v>1264</v>
      </c>
      <c r="F4" s="3647"/>
      <c r="G4" s="3647"/>
      <c r="H4" s="3647"/>
      <c r="I4" s="3648"/>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20" t="s">
        <v>1265</v>
      </c>
      <c r="B5" s="3607">
        <v>25</v>
      </c>
      <c r="C5" s="3623"/>
      <c r="D5" s="3643"/>
      <c r="E5" s="131" t="s">
        <v>1266</v>
      </c>
      <c r="F5" s="1753"/>
      <c r="G5" s="1753"/>
      <c r="H5" s="1753"/>
      <c r="I5" s="1369"/>
    </row>
    <row r="6" spans="1:12" ht="12.75">
      <c r="A6" s="3620"/>
      <c r="B6" s="3607"/>
      <c r="C6" s="3624"/>
      <c r="D6" s="3643"/>
      <c r="E6" s="131" t="s">
        <v>1267</v>
      </c>
      <c r="F6" s="1753"/>
      <c r="G6" s="1753"/>
      <c r="H6" s="1753"/>
      <c r="I6" s="1369"/>
    </row>
    <row r="7" spans="1:12" ht="12.75">
      <c r="A7" s="3620"/>
      <c r="B7" s="3607"/>
      <c r="C7" s="3625"/>
      <c r="D7" s="3643"/>
      <c r="E7" s="131" t="s">
        <v>1268</v>
      </c>
      <c r="F7" s="1753"/>
      <c r="G7" s="1753"/>
      <c r="H7" s="1753"/>
      <c r="I7" s="1369"/>
    </row>
    <row r="8" spans="1:12" ht="12.75">
      <c r="A8" s="3620" t="s">
        <v>1269</v>
      </c>
      <c r="B8" s="3607">
        <v>15</v>
      </c>
      <c r="C8" s="3623"/>
      <c r="D8" s="3643"/>
      <c r="E8" s="131" t="s">
        <v>1270</v>
      </c>
      <c r="F8" s="1753"/>
      <c r="G8" s="1753"/>
      <c r="H8" s="1753"/>
      <c r="I8" s="1369"/>
    </row>
    <row r="9" spans="1:12" ht="12.75">
      <c r="A9" s="3620"/>
      <c r="B9" s="3607"/>
      <c r="C9" s="3625"/>
      <c r="D9" s="3643"/>
      <c r="E9" s="131" t="s">
        <v>1271</v>
      </c>
      <c r="F9" s="1753"/>
      <c r="G9" s="1753"/>
      <c r="H9" s="1753"/>
      <c r="I9" s="1369"/>
    </row>
    <row r="10" spans="1:12" ht="12.75">
      <c r="A10" s="3620" t="s">
        <v>1272</v>
      </c>
      <c r="B10" s="3607">
        <v>15</v>
      </c>
      <c r="C10" s="3623"/>
      <c r="D10" s="3643"/>
      <c r="E10" s="131" t="s">
        <v>1273</v>
      </c>
      <c r="F10" s="1753"/>
      <c r="G10" s="1753"/>
      <c r="H10" s="1753"/>
      <c r="I10" s="1369"/>
    </row>
    <row r="11" spans="1:12" ht="12.75">
      <c r="A11" s="3620"/>
      <c r="B11" s="3607"/>
      <c r="C11" s="3625"/>
      <c r="D11" s="3643"/>
      <c r="E11" s="131" t="s">
        <v>1274</v>
      </c>
      <c r="F11" s="1753"/>
      <c r="G11" s="1753"/>
      <c r="H11" s="1753"/>
      <c r="I11" s="1369"/>
    </row>
    <row r="12" spans="1:12" ht="12.75">
      <c r="A12" s="3620" t="s">
        <v>1275</v>
      </c>
      <c r="B12" s="3607">
        <v>15</v>
      </c>
      <c r="C12" s="3623"/>
      <c r="D12" s="3643"/>
      <c r="E12" s="131" t="s">
        <v>1276</v>
      </c>
      <c r="F12" s="1753"/>
      <c r="G12" s="1753"/>
      <c r="H12" s="1753"/>
      <c r="I12" s="1369"/>
    </row>
    <row r="13" spans="1:12" ht="12.75">
      <c r="A13" s="3620"/>
      <c r="B13" s="3607"/>
      <c r="C13" s="3625"/>
      <c r="D13" s="3643"/>
      <c r="E13" s="131" t="s">
        <v>1277</v>
      </c>
      <c r="F13" s="1753"/>
      <c r="G13" s="1753"/>
      <c r="H13" s="1753"/>
      <c r="I13" s="1369"/>
    </row>
    <row r="14" spans="1:12" ht="12.75">
      <c r="A14" s="3620" t="s">
        <v>1278</v>
      </c>
      <c r="B14" s="3607">
        <v>30</v>
      </c>
      <c r="C14" s="3836">
        <v>55</v>
      </c>
      <c r="D14" s="3839">
        <v>45</v>
      </c>
      <c r="E14" s="131" t="s">
        <v>1279</v>
      </c>
      <c r="F14" s="1753"/>
      <c r="G14" s="1753"/>
      <c r="H14" s="1753"/>
      <c r="I14" s="1369"/>
    </row>
    <row r="15" spans="1:12" ht="12.75">
      <c r="A15" s="3620"/>
      <c r="B15" s="3607"/>
      <c r="C15" s="3837"/>
      <c r="D15" s="3839"/>
      <c r="E15" s="131" t="s">
        <v>1280</v>
      </c>
      <c r="F15" s="1753"/>
      <c r="G15" s="1753"/>
      <c r="H15" s="1753"/>
      <c r="I15" s="1369"/>
    </row>
    <row r="16" spans="1:12" ht="12.75">
      <c r="A16" s="3620"/>
      <c r="B16" s="3607"/>
      <c r="C16" s="3838"/>
      <c r="D16" s="3839"/>
      <c r="E16" s="131" t="s">
        <v>1281</v>
      </c>
      <c r="F16" s="1753"/>
      <c r="G16" s="1753"/>
      <c r="H16" s="1753"/>
      <c r="I16" s="1369"/>
    </row>
    <row r="17" spans="1:36" ht="15">
      <c r="A17" s="1754" t="s">
        <v>1282</v>
      </c>
      <c r="B17" s="56"/>
      <c r="C17" s="132">
        <f>SUM(C5:C16)</f>
        <v>55</v>
      </c>
      <c r="D17" s="132">
        <f>SUM(D5:D16)</f>
        <v>45</v>
      </c>
      <c r="E17" s="129"/>
      <c r="F17" s="129"/>
      <c r="G17" s="129"/>
      <c r="H17" s="129"/>
      <c r="I17" s="129"/>
      <c r="K17" s="302"/>
      <c r="L17" s="302" t="s">
        <v>1283</v>
      </c>
      <c r="M17" s="302" t="s">
        <v>1284</v>
      </c>
    </row>
    <row r="18" spans="1:36" ht="31.9" customHeight="1" thickBot="1">
      <c r="A18" s="1755" t="s">
        <v>1285</v>
      </c>
      <c r="B18" s="1756"/>
      <c r="C18" s="133">
        <f>ROUND(C17/SUM(C17:D17),2)</f>
        <v>0.55000000000000004</v>
      </c>
      <c r="D18" s="133">
        <f>1-C18</f>
        <v>0.44999999999999996</v>
      </c>
      <c r="E18" s="3630" t="s">
        <v>2126</v>
      </c>
      <c r="F18" s="3631"/>
      <c r="G18" s="3631"/>
      <c r="H18" s="3631"/>
      <c r="I18" s="3631"/>
      <c r="K18" s="302" t="s">
        <v>1286</v>
      </c>
      <c r="L18" s="302">
        <f>IF(C1="",'数据-汇总表'!E3,SUMIF(项目类型,C1,'数据-汇总表'!E17:E26)+SUMIF(项目类型,C1,'数据-汇总表'!I17:I26))</f>
        <v>0</v>
      </c>
      <c r="M18" s="302">
        <f>IF(C1="",'数据-汇总表'!E3,SUMIF(项目类型,C1,'数据-汇总表'!E17:E26))</f>
        <v>0</v>
      </c>
    </row>
    <row r="19" spans="1:36" ht="15">
      <c r="A19" s="1757" t="s">
        <v>1287</v>
      </c>
      <c r="B19" s="1758" t="s">
        <v>1288</v>
      </c>
      <c r="C19" s="134" t="e">
        <f ca="1">SUMIF(INDIRECT("'"&amp;C4&amp;"'"&amp;"!A:A"),'结果表-6号楼'!B19,INDIRECT("'"&amp;C4&amp;"'"&amp;"!B:B"))</f>
        <v>#N/A</v>
      </c>
      <c r="D19" s="135" t="e">
        <f ca="1">SUMIF(INDIRECT("'"&amp;D4&amp;"'"&amp;"!A:A"),'结果表-6号楼'!B19,INDIRECT("'"&amp;D4&amp;"'"&amp;"!B:B"))</f>
        <v>#N/A</v>
      </c>
      <c r="E19" s="1757" t="s">
        <v>1289</v>
      </c>
      <c r="F19" s="1758" t="s">
        <v>1288</v>
      </c>
      <c r="G19" s="136" t="e">
        <f ca="1">ROUND(C19*$C$18+D19*$D$18,0)</f>
        <v>#N/A</v>
      </c>
      <c r="H19" s="1759"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0"/>
      <c r="B20" s="1022" t="s">
        <v>1292</v>
      </c>
      <c r="C20" s="137" t="e">
        <f ca="1">SUMIF(INDIRECT("'"&amp;C4&amp;"'"&amp;"!A:A"),'结果表-6号楼'!B20,INDIRECT("'"&amp;C4&amp;"'"&amp;"!B:B"))</f>
        <v>#N/A</v>
      </c>
      <c r="D20" s="138">
        <f ca="1">SUMIF(INDIRECT("'"&amp;D4&amp;"'"&amp;"!A:A"),'结果表-6号楼'!B20,INDIRECT("'"&amp;D4&amp;"'"&amp;"!B:B"))</f>
        <v>0</v>
      </c>
      <c r="E20" s="1760"/>
      <c r="F20" s="1022" t="s">
        <v>1292</v>
      </c>
      <c r="G20" s="139" t="e">
        <f ca="1">ROUND(C20*$C$18+D20*$D$18,0)</f>
        <v>#N/A</v>
      </c>
      <c r="H20" s="804" t="s">
        <v>1293</v>
      </c>
      <c r="I20" s="129"/>
    </row>
    <row r="21" spans="1:36" ht="15" customHeight="1" thickBot="1">
      <c r="A21" s="824"/>
      <c r="B21" s="1761" t="s">
        <v>1294</v>
      </c>
      <c r="C21" s="718" t="e">
        <f ca="1">ROUND(C19*10000/L19,0)</f>
        <v>#N/A</v>
      </c>
      <c r="D21" s="719" t="e">
        <f ca="1">ROUND(D19*10000/L19,0)</f>
        <v>#N/A</v>
      </c>
      <c r="E21" s="824"/>
      <c r="F21" s="1761" t="s">
        <v>1294</v>
      </c>
      <c r="G21" s="140" t="e">
        <f ca="1">ROUND(G19*10000/L19,0)</f>
        <v>#N/A</v>
      </c>
      <c r="H21" s="1762" t="s">
        <v>1293</v>
      </c>
      <c r="I21" s="129"/>
    </row>
    <row r="22" spans="1:36" ht="15" thickBot="1">
      <c r="A22" s="1684" t="s">
        <v>1295</v>
      </c>
      <c r="B22" s="1763"/>
      <c r="C22" s="1764"/>
      <c r="D22" s="720" t="e">
        <f ca="1">IF(C19&lt;D19,D19/C19-1,C19/D19-1)</f>
        <v>#N/A</v>
      </c>
      <c r="E22" s="129"/>
      <c r="F22" s="129"/>
      <c r="G22" s="129"/>
      <c r="H22" s="129"/>
      <c r="I22" s="129"/>
    </row>
    <row r="23" spans="1:36" ht="13.5" thickBot="1">
      <c r="A23" s="1743"/>
      <c r="B23" s="1743"/>
      <c r="C23" s="1743"/>
      <c r="D23" s="1743"/>
      <c r="E23" s="129"/>
      <c r="F23" s="129"/>
      <c r="G23" s="129"/>
      <c r="H23" s="129"/>
      <c r="I23" s="129"/>
    </row>
    <row r="24" spans="1:36" ht="14.25">
      <c r="A24" s="3614" t="s">
        <v>1296</v>
      </c>
      <c r="B24" s="1758" t="s">
        <v>1288</v>
      </c>
      <c r="C24" s="136">
        <f>IF(B30=0,0,D30)</f>
        <v>0</v>
      </c>
      <c r="D24" s="1765"/>
      <c r="E24" s="129"/>
      <c r="F24" s="129"/>
      <c r="G24" s="129"/>
      <c r="H24" s="129"/>
      <c r="I24" s="129"/>
    </row>
    <row r="25" spans="1:36" ht="14.25">
      <c r="A25" s="3615"/>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t="e">
        <f ca="1">G20/0.66</f>
        <v>#N/A</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t="e">
        <f ca="1">IF(D32="总价",G19-C24,G20-C25)</f>
        <v>#N/A</v>
      </c>
      <c r="D32" s="1771" t="s">
        <v>3432</v>
      </c>
      <c r="E32" s="129"/>
      <c r="F32" s="129"/>
      <c r="G32" s="129"/>
      <c r="H32" s="129"/>
      <c r="I32" s="129"/>
    </row>
    <row r="33" spans="1:15" ht="15">
      <c r="A33" s="782" t="s">
        <v>1303</v>
      </c>
      <c r="B33" s="1772"/>
      <c r="C33" s="1773" t="s">
        <v>3448</v>
      </c>
      <c r="D33" s="1774" t="s">
        <v>3454</v>
      </c>
      <c r="E33" s="1775" t="s">
        <v>1304</v>
      </c>
      <c r="F33" s="1776" t="str">
        <f>IF(D32="楼面单价","取值（单价）","取值（总价）")</f>
        <v>取值（单价）</v>
      </c>
      <c r="G33" s="129"/>
      <c r="H33" s="129"/>
      <c r="I33" s="129"/>
    </row>
    <row r="34" spans="1:15" ht="15">
      <c r="A34" s="1777"/>
      <c r="B34" s="1778" t="s">
        <v>1305</v>
      </c>
      <c r="C34" s="148" t="e">
        <f ca="1">IF(C33="自定义",F34,C32-C35)</f>
        <v>#N/A</v>
      </c>
      <c r="D34" s="857" t="e">
        <f ca="1">IF(C33="自定义",ROUND(C34/C32,3),IF(C33="收益比率",SUMIF(INDIRECT("'"&amp;D33&amp;"'"&amp;"!b:b"),"土地收益比率",INDIRECT("'"&amp;D33&amp;"'"&amp;"!c:c")),SUMIF(INDIRECT("'"&amp;D33&amp;"'"&amp;"!b:b"),"土地成本比率",INDIRECT("'"&amp;D33&amp;"'"&amp;"!c:c"))))</f>
        <v>#N/A</v>
      </c>
      <c r="E34" s="1779" t="s">
        <v>1306</v>
      </c>
      <c r="F34" s="1326"/>
      <c r="G34" s="129"/>
      <c r="H34" s="129"/>
      <c r="I34" s="129"/>
    </row>
    <row r="35" spans="1:15" ht="15.75" thickBot="1">
      <c r="A35" s="1780"/>
      <c r="B35" s="1781" t="s">
        <v>1307</v>
      </c>
      <c r="C35" s="1166" t="e">
        <f ca="1">IF(C33="自定义",F35,ROUND(C32*D35,0))</f>
        <v>#N/A</v>
      </c>
      <c r="D35" s="1167" t="e">
        <f ca="1">IF(C33="自定义",ROUND(C35/C32,3),IF(C33="收益比率",SUMIF(INDIRECT("'"&amp;D33&amp;"'"&amp;"!b:b"),"建筑物收益比率",INDIRECT("'"&amp;D33&amp;"'"&amp;"!c:c")),SUMIF(INDIRECT("'"&amp;D33&amp;"'"&amp;"!b:b"),"建筑物成本比率",INDIRECT("'"&amp;D33&amp;"'"&amp;"!c:c"))))</f>
        <v>#N/A</v>
      </c>
      <c r="E35" s="1782" t="s">
        <v>1308</v>
      </c>
      <c r="F35" s="154"/>
      <c r="G35" s="129"/>
      <c r="H35" s="129"/>
      <c r="I35" s="129"/>
    </row>
    <row r="36" spans="1:15" ht="15.75" thickBot="1">
      <c r="A36" s="3634" t="s">
        <v>1309</v>
      </c>
      <c r="B36" s="1783" t="s">
        <v>1310</v>
      </c>
      <c r="C36" s="145"/>
      <c r="D36" s="1784"/>
      <c r="E36" s="1785"/>
      <c r="F36" s="1786"/>
      <c r="G36" s="129"/>
      <c r="H36" s="129"/>
      <c r="I36" s="129"/>
    </row>
    <row r="37" spans="1:15" ht="15.75" thickBot="1">
      <c r="A37" s="3635"/>
      <c r="B37" s="1670" t="s">
        <v>1311</v>
      </c>
      <c r="C37" s="147"/>
      <c r="D37" s="1135"/>
      <c r="E37" s="1135"/>
      <c r="F37" s="1786"/>
      <c r="G37" s="129"/>
      <c r="H37" s="129"/>
      <c r="I37" s="129"/>
    </row>
    <row r="38" spans="1:15" ht="15.75" thickBot="1">
      <c r="A38" s="3636"/>
      <c r="B38" s="1787" t="s">
        <v>1312</v>
      </c>
      <c r="C38" s="673"/>
      <c r="D38" s="1788" t="s">
        <v>1313</v>
      </c>
      <c r="E38" s="1135"/>
      <c r="F38" s="1786"/>
      <c r="G38" s="129"/>
      <c r="H38" s="129"/>
      <c r="I38" s="129"/>
    </row>
    <row r="39" spans="1:15" ht="15">
      <c r="A39" s="1760" t="s">
        <v>1314</v>
      </c>
      <c r="B39" s="1789" t="s">
        <v>1298</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11" t="s">
        <v>1323</v>
      </c>
      <c r="B45" s="3612"/>
      <c r="C45" s="3613"/>
      <c r="D45" s="155" t="e">
        <f ca="1">ROUND(H101*F45,0)</f>
        <v>#N/A</v>
      </c>
      <c r="E45" s="156" t="s">
        <v>1324</v>
      </c>
      <c r="F45" s="157">
        <v>1</v>
      </c>
      <c r="G45" s="158" t="s">
        <v>1325</v>
      </c>
      <c r="H45" s="129"/>
      <c r="I45" s="129"/>
      <c r="J45" s="3689" t="s">
        <v>1326</v>
      </c>
      <c r="K45" s="3689"/>
      <c r="L45" s="3689"/>
      <c r="M45" s="3689"/>
      <c r="N45" s="3689"/>
      <c r="O45" s="3689"/>
    </row>
    <row r="46" spans="1:15" ht="14.25" customHeight="1">
      <c r="A46" s="3608" t="s">
        <v>1327</v>
      </c>
      <c r="B46" s="3609"/>
      <c r="C46" s="3609"/>
      <c r="D46" s="3609"/>
      <c r="E46" s="3609"/>
      <c r="F46" s="3609"/>
      <c r="G46" s="3610"/>
      <c r="H46" s="1802"/>
      <c r="I46" s="159"/>
      <c r="J46" s="3462">
        <v>1</v>
      </c>
      <c r="K46" s="3670" t="s">
        <v>1328</v>
      </c>
      <c r="L46" s="3670"/>
      <c r="M46" s="3690"/>
      <c r="N46" s="3690"/>
      <c r="O46" s="3690"/>
    </row>
    <row r="47" spans="1:15" ht="12" customHeight="1">
      <c r="A47" s="160" t="s">
        <v>1329</v>
      </c>
      <c r="B47" s="161"/>
      <c r="C47" s="162"/>
      <c r="D47" s="1083" t="s">
        <v>1330</v>
      </c>
      <c r="E47" s="302" t="s">
        <v>1331</v>
      </c>
      <c r="F47" s="163" t="s">
        <v>1332</v>
      </c>
      <c r="G47" s="2542" t="s">
        <v>1333</v>
      </c>
      <c r="H47" s="2543"/>
      <c r="I47" s="159"/>
      <c r="J47" s="3462">
        <v>2</v>
      </c>
      <c r="K47" s="3670" t="s">
        <v>1334</v>
      </c>
      <c r="L47" s="3670"/>
      <c r="M47" s="3691">
        <f>'数据-取费表'!B2</f>
        <v>45467</v>
      </c>
      <c r="N47" s="3691"/>
      <c r="O47" s="3691"/>
    </row>
    <row r="48" spans="1:15" ht="25.5">
      <c r="A48" s="3639" t="s">
        <v>1335</v>
      </c>
      <c r="B48" s="3622"/>
      <c r="C48" s="3622"/>
      <c r="D48" s="3457" t="b">
        <f>IF(H48="情况1",0,IF(H48="情况2",D52,IF(H48="情况3",D53,IF(H48="情况4",D54))))</f>
        <v>0</v>
      </c>
      <c r="E48" s="3473" t="str">
        <f>IF(H48="情况4","(销售额-原购置价)×税（费）率","销售额×税（费）率")</f>
        <v>销售额×税（费）率</v>
      </c>
      <c r="F48" s="2544">
        <f>IF(H48="情况1","免征",'数据-取费表'!B41)</f>
        <v>5.5000000000000007E-2</v>
      </c>
      <c r="G48" s="2545" t="s">
        <v>1336</v>
      </c>
      <c r="H48" s="2546"/>
      <c r="I48" s="1802"/>
      <c r="J48" s="3462">
        <v>3</v>
      </c>
      <c r="K48" s="3670" t="s">
        <v>1337</v>
      </c>
      <c r="L48" s="3670"/>
      <c r="M48" s="3692" t="e">
        <f ca="1">H101</f>
        <v>#N/A</v>
      </c>
      <c r="N48" s="3692"/>
      <c r="O48" s="3692"/>
    </row>
    <row r="49" spans="1:35" ht="25.5" customHeight="1">
      <c r="A49" s="3472" t="s">
        <v>1338</v>
      </c>
      <c r="B49" s="3606" t="s">
        <v>1339</v>
      </c>
      <c r="C49" s="3606"/>
      <c r="D49" s="1586">
        <v>0</v>
      </c>
      <c r="E49" s="324" t="s">
        <v>1340</v>
      </c>
      <c r="F49" s="3455" t="s">
        <v>28</v>
      </c>
      <c r="G49" s="3676"/>
      <c r="H49" s="2306" t="s">
        <v>2129</v>
      </c>
      <c r="I49" s="2307"/>
      <c r="J49" s="3462">
        <v>4</v>
      </c>
      <c r="K49" s="3670" t="str">
        <f>IF(项目基本情况!E8="房地产抵押价值","房地产抵押价值","抵押担保权已注销时的房地产抵押价值")</f>
        <v>房地产抵押价值</v>
      </c>
      <c r="L49" s="3670"/>
      <c r="M49" s="3692" t="e">
        <f ca="1">IF(项目基本情况!E8="房地产抵押价值",H107,H109)</f>
        <v>#N/A</v>
      </c>
      <c r="N49" s="3692"/>
      <c r="O49" s="3692"/>
    </row>
    <row r="50" spans="1:35" ht="25.5" customHeight="1">
      <c r="A50" s="2547"/>
      <c r="B50" s="3606" t="s">
        <v>1341</v>
      </c>
      <c r="C50" s="3606"/>
      <c r="D50" s="2548"/>
      <c r="E50" s="332"/>
      <c r="F50" s="3455"/>
      <c r="G50" s="3677"/>
      <c r="H50" s="2308" t="s">
        <v>2130</v>
      </c>
      <c r="I50" s="2307"/>
      <c r="J50" s="3689" t="s">
        <v>1342</v>
      </c>
      <c r="K50" s="3689"/>
      <c r="L50" s="3689"/>
      <c r="M50" s="3689"/>
      <c r="N50" s="3689"/>
      <c r="O50" s="3689"/>
    </row>
    <row r="51" spans="1:35" ht="20.45" customHeight="1">
      <c r="A51" s="2549"/>
      <c r="B51" s="3606" t="s">
        <v>1343</v>
      </c>
      <c r="C51" s="3606"/>
      <c r="D51" s="1083"/>
      <c r="E51" s="327"/>
      <c r="F51" s="3455"/>
      <c r="G51" s="3678"/>
      <c r="H51" s="2308" t="s">
        <v>2131</v>
      </c>
      <c r="I51" s="2307"/>
      <c r="J51" s="3456" t="s">
        <v>1344</v>
      </c>
      <c r="K51" s="3670" t="s">
        <v>1345</v>
      </c>
      <c r="L51" s="3670"/>
      <c r="M51" s="3456" t="s">
        <v>1346</v>
      </c>
      <c r="N51" s="3456" t="s">
        <v>1347</v>
      </c>
      <c r="O51" s="3456" t="s">
        <v>1348</v>
      </c>
    </row>
    <row r="52" spans="1:35" ht="24" customHeight="1">
      <c r="A52" s="3475" t="s">
        <v>1349</v>
      </c>
      <c r="B52" s="3606" t="s">
        <v>1350</v>
      </c>
      <c r="C52" s="3606"/>
      <c r="D52" s="1083" t="e">
        <f ca="1">ROUND(D45*'数据-取费表'!B41/(1+'数据-取费表'!C42),0)</f>
        <v>#N/A</v>
      </c>
      <c r="E52" s="3473" t="s">
        <v>1351</v>
      </c>
      <c r="F52" s="2550">
        <f>'数据-取费表'!B41</f>
        <v>5.5000000000000007E-2</v>
      </c>
      <c r="G52" s="2551"/>
      <c r="H52" s="2540"/>
      <c r="I52" s="1803"/>
      <c r="J52" s="3462">
        <v>1</v>
      </c>
      <c r="K52" s="3671" t="s">
        <v>1352</v>
      </c>
      <c r="L52" s="3671"/>
      <c r="M52" s="2521" t="b">
        <f>D48</f>
        <v>0</v>
      </c>
      <c r="N52" s="3462" t="str">
        <f>E48</f>
        <v>销售额×税（费）率</v>
      </c>
      <c r="O52" s="2522">
        <f>F48</f>
        <v>5.5000000000000007E-2</v>
      </c>
    </row>
    <row r="53" spans="1:35" ht="12" customHeight="1">
      <c r="A53" s="3475" t="s">
        <v>1353</v>
      </c>
      <c r="B53" s="3632" t="s">
        <v>2286</v>
      </c>
      <c r="C53" s="3633"/>
      <c r="D53" s="1083" t="e">
        <f ca="1">ROUND(D45*'数据-取费表'!B41/(1+'数据-取费表'!C42),0)</f>
        <v>#N/A</v>
      </c>
      <c r="E53" s="3473" t="s">
        <v>1351</v>
      </c>
      <c r="F53" s="2550">
        <f>'数据-取费表'!B41</f>
        <v>5.5000000000000007E-2</v>
      </c>
      <c r="G53" s="2551"/>
      <c r="H53" s="2540"/>
      <c r="I53" s="1803"/>
      <c r="J53" s="3462">
        <v>2</v>
      </c>
      <c r="K53" s="3671" t="s">
        <v>1354</v>
      </c>
      <c r="L53" s="3671"/>
      <c r="M53" s="2521" t="e">
        <f t="shared" ref="M53:O54" ca="1" si="0">D55</f>
        <v>#N/A</v>
      </c>
      <c r="N53" s="3462" t="str">
        <f t="shared" si="0"/>
        <v>销售额×税（费）率</v>
      </c>
      <c r="O53" s="2522" t="str">
        <f t="shared" si="0"/>
        <v>免征</v>
      </c>
    </row>
    <row r="54" spans="1:35" ht="12" customHeight="1">
      <c r="A54" s="3475" t="s">
        <v>1355</v>
      </c>
      <c r="B54" s="3632" t="s">
        <v>2287</v>
      </c>
      <c r="C54" s="3633"/>
      <c r="D54" s="1083" t="e">
        <f ca="1">C68</f>
        <v>#N/A</v>
      </c>
      <c r="E54" s="327" t="s">
        <v>1356</v>
      </c>
      <c r="F54" s="2550">
        <f>'数据-取费表'!B41</f>
        <v>5.5000000000000007E-2</v>
      </c>
      <c r="G54" s="2551"/>
      <c r="H54" s="2552"/>
      <c r="I54" s="1803"/>
      <c r="J54" s="3462">
        <v>3</v>
      </c>
      <c r="K54" s="3671" t="s">
        <v>1357</v>
      </c>
      <c r="L54" s="3671"/>
      <c r="M54" s="2521" t="e">
        <f t="shared" ca="1" si="0"/>
        <v>#N/A</v>
      </c>
      <c r="N54" s="3462" t="str">
        <f t="shared" si="0"/>
        <v>增值额×税（费）率</v>
      </c>
      <c r="O54" s="2523" t="str">
        <f t="shared" si="0"/>
        <v>免征</v>
      </c>
    </row>
    <row r="55" spans="1:35" ht="24" customHeight="1">
      <c r="A55" s="3621" t="s">
        <v>1358</v>
      </c>
      <c r="B55" s="3622"/>
      <c r="C55" s="3622"/>
      <c r="D55" s="3457" t="e">
        <f ca="1">IF(H55="个人住宅",0,ROUND(D45*I55,0))</f>
        <v>#N/A</v>
      </c>
      <c r="E55" s="3473" t="s">
        <v>1359</v>
      </c>
      <c r="F55" s="2550" t="str">
        <f>IF(H55="正常",I55,"免征")</f>
        <v>免征</v>
      </c>
      <c r="G55" s="2551"/>
      <c r="H55" s="2546"/>
      <c r="I55" s="165">
        <f>'数据-取费表'!B49</f>
        <v>5.0000000000000001E-4</v>
      </c>
      <c r="J55" s="3462">
        <f>IF(H59="非个人房产","",4)</f>
        <v>4</v>
      </c>
      <c r="K55" s="3671" t="str">
        <f>IF(H59="非个人房产","——","个人所得税")</f>
        <v>个人所得税</v>
      </c>
      <c r="L55" s="3671"/>
      <c r="M55" s="2524" t="e">
        <f ca="1">D59</f>
        <v>#N/A</v>
      </c>
      <c r="N55" s="3463" t="str">
        <f>E59</f>
        <v>差额计税</v>
      </c>
      <c r="O55" s="2525">
        <f>F59</f>
        <v>0.01</v>
      </c>
    </row>
    <row r="56" spans="1:35" ht="24.75">
      <c r="A56" s="3621" t="s">
        <v>1360</v>
      </c>
      <c r="B56" s="3622"/>
      <c r="C56" s="3622"/>
      <c r="D56" s="3457" t="e">
        <f ca="1">IF(H56="个人住宅",D57,D58)</f>
        <v>#N/A</v>
      </c>
      <c r="E56" s="3473" t="s">
        <v>1361</v>
      </c>
      <c r="F56" s="2550" t="str">
        <f>IF(H56="正常",F58,"免征")</f>
        <v>免征</v>
      </c>
      <c r="G56" s="2553" t="s">
        <v>1362</v>
      </c>
      <c r="H56" s="2554"/>
      <c r="I56" s="1804"/>
      <c r="J56" s="3462" t="str">
        <f>IF(项目基本情况!K6="上海银行",IF(J55="",4,J55+1),"")</f>
        <v/>
      </c>
      <c r="K56" s="3694" t="str">
        <f>IF(项目基本情况!K6="上海银行","其他处置费用","")</f>
        <v/>
      </c>
      <c r="L56" s="3695"/>
      <c r="M56" s="2521" t="str">
        <f>IF(项目基本情况!K6="上海银行",M69,"")</f>
        <v/>
      </c>
      <c r="N56" s="3694" t="str">
        <f>IF(项目基本情况!K6="上海银行","包含处置中涉及的律师、诉讼、拍卖、评估等费用","")</f>
        <v/>
      </c>
      <c r="O56" s="3697"/>
    </row>
    <row r="57" spans="1:35" ht="12.75">
      <c r="A57" s="3475" t="s">
        <v>1338</v>
      </c>
      <c r="B57" s="3632" t="s">
        <v>1363</v>
      </c>
      <c r="C57" s="3633"/>
      <c r="D57" s="1586">
        <v>0</v>
      </c>
      <c r="E57" s="324" t="s">
        <v>1340</v>
      </c>
      <c r="F57" s="302"/>
      <c r="G57" s="2551"/>
      <c r="H57" s="2555"/>
      <c r="I57" s="1804"/>
      <c r="J57" s="3671">
        <f>IF(AND(J55="",J56=""),4,IF(项目基本情况!K6="上海银行",'结果表-6号楼'!J56+1,'结果表-6号楼'!J55+1))</f>
        <v>5</v>
      </c>
      <c r="K57" s="3671" t="s">
        <v>1364</v>
      </c>
      <c r="L57" s="2526" t="s">
        <v>1365</v>
      </c>
      <c r="M57" s="2527"/>
      <c r="N57" s="2528">
        <f ca="1">SUMIF(M52:M56,"&lt;9e307")</f>
        <v>0</v>
      </c>
      <c r="O57" s="2529"/>
      <c r="P57" s="2686" t="e">
        <f ca="1">N57/M49</f>
        <v>#N/A</v>
      </c>
    </row>
    <row r="58" spans="1:35" ht="24.75">
      <c r="A58" s="3475" t="s">
        <v>1349</v>
      </c>
      <c r="B58" s="3632" t="s">
        <v>1366</v>
      </c>
      <c r="C58" s="3606"/>
      <c r="D58" s="3457" t="e">
        <f ca="1">IF(H58="转让取得",C81,C97)</f>
        <v>#N/A</v>
      </c>
      <c r="E58" s="3473" t="s">
        <v>1361</v>
      </c>
      <c r="F58" s="302" t="s">
        <v>28</v>
      </c>
      <c r="G58" s="2551"/>
      <c r="H58" s="2554"/>
      <c r="I58" s="1804"/>
      <c r="J58" s="3671"/>
      <c r="K58" s="3671"/>
      <c r="L58" s="2526" t="s">
        <v>1367</v>
      </c>
      <c r="M58" s="2530"/>
      <c r="N58" s="2531" t="str">
        <f ca="1">NUMBERSTRING(INT(N57*10000),2)&amp;"元整"</f>
        <v>零元整</v>
      </c>
      <c r="O58" s="2532"/>
    </row>
    <row r="59" spans="1:35" ht="24.75" thickBot="1">
      <c r="A59" s="3674" t="s">
        <v>1368</v>
      </c>
      <c r="B59" s="3675"/>
      <c r="C59" s="3675"/>
      <c r="D59" s="2556" t="e">
        <f ca="1">IF(H59="非个人房产","——",IF(H59="个人住宅（满五唯一有凭证）",0,IF(H59="个人其他（无凭证）",ROUND(D45*F59,0),ROUND(C67*F59,0))))</f>
        <v>#N/A</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1362</v>
      </c>
      <c r="H59" s="2310"/>
      <c r="I59" s="2309" t="s">
        <v>2132</v>
      </c>
      <c r="J59" s="3672">
        <f>J57+1</f>
        <v>6</v>
      </c>
      <c r="K59" s="3671" t="s">
        <v>1369</v>
      </c>
      <c r="L59" s="3462" t="s">
        <v>1365</v>
      </c>
      <c r="M59" s="2533"/>
      <c r="N59" s="2534" t="e">
        <f ca="1">M49-N57</f>
        <v>#N/A</v>
      </c>
      <c r="O59" s="2535"/>
    </row>
    <row r="60" spans="1:35" ht="12" customHeight="1">
      <c r="A60" s="1805"/>
      <c r="B60" s="1743"/>
      <c r="C60" s="1743"/>
      <c r="D60" s="1743"/>
      <c r="E60" s="1574"/>
      <c r="F60" s="1804"/>
      <c r="G60" s="1804"/>
      <c r="H60" s="1806"/>
      <c r="I60" s="129"/>
      <c r="J60" s="3673"/>
      <c r="K60" s="3671"/>
      <c r="L60" s="2526" t="s">
        <v>1367</v>
      </c>
      <c r="M60" s="2530"/>
      <c r="N60" s="2531" t="e">
        <f ca="1">NUMBERSTRING(INT(N59*10000),2)&amp;"元整"</f>
        <v>#N/A</v>
      </c>
      <c r="O60" s="2532"/>
    </row>
    <row r="61" spans="1:35" ht="13.5" thickBot="1">
      <c r="A61" s="3619" t="s">
        <v>1370</v>
      </c>
      <c r="B61" s="3619"/>
      <c r="C61" s="3619"/>
      <c r="D61" s="3619"/>
      <c r="E61" s="3619"/>
      <c r="F61" s="1804"/>
      <c r="G61" s="1804"/>
      <c r="H61" s="1806"/>
      <c r="I61" s="129"/>
      <c r="J61" s="3462">
        <f>J59+1</f>
        <v>7</v>
      </c>
      <c r="K61" s="3671" t="s">
        <v>1371</v>
      </c>
      <c r="L61" s="3671"/>
      <c r="M61" s="2536"/>
      <c r="N61" s="2537" t="e">
        <f ca="1">ROUND(N59*10000/'数据-汇总表'!E3,0)</f>
        <v>#N/A</v>
      </c>
      <c r="O61" s="2538"/>
    </row>
    <row r="62" spans="1:35" ht="12.75">
      <c r="A62" s="3637" t="s">
        <v>1372</v>
      </c>
      <c r="B62" s="3638"/>
      <c r="C62" s="3468"/>
      <c r="D62" s="3468" t="s">
        <v>1373</v>
      </c>
      <c r="E62" s="166" t="s">
        <v>1374</v>
      </c>
      <c r="F62" s="1804"/>
      <c r="G62" s="1804"/>
      <c r="H62" s="1806"/>
      <c r="I62" s="129"/>
    </row>
    <row r="63" spans="1:35" ht="12.75">
      <c r="A63" s="173" t="s">
        <v>329</v>
      </c>
      <c r="B63" s="167" t="s">
        <v>1375</v>
      </c>
      <c r="C63" s="2560" t="e">
        <f ca="1">ROUND((C64+C65)/(1+'数据-取费表'!C42),0)</f>
        <v>#N/A</v>
      </c>
      <c r="D63" s="167"/>
      <c r="E63" s="168"/>
      <c r="F63" s="1804"/>
      <c r="G63" s="1804"/>
      <c r="H63" s="1806"/>
      <c r="I63" s="129"/>
      <c r="J63" s="3696" t="s">
        <v>1376</v>
      </c>
      <c r="K63" s="3458" t="s">
        <v>1377</v>
      </c>
      <c r="L63" s="3458" t="e">
        <f ca="1">IF(M49&gt;10000,M49*0.5%,IF(AND(M49&gt;1000,M49&lt;=10000),M49*1%,IF(AND(M49&gt;100,M49&lt;=1000),M49*3%,IF(AND(M49&gt;10,M49&lt;=100),M49*5%,M49*8%))))</f>
        <v>#N/A</v>
      </c>
      <c r="M63" s="302" t="e">
        <f ca="1">ROUND(L63,1)</f>
        <v>#N/A</v>
      </c>
      <c r="N63" s="2539"/>
      <c r="Z63" s="1748"/>
      <c r="AI63" s="1749"/>
    </row>
    <row r="64" spans="1:35" ht="14.25" customHeight="1">
      <c r="A64" s="169" t="s">
        <v>324</v>
      </c>
      <c r="B64" s="170" t="s">
        <v>1378</v>
      </c>
      <c r="C64" s="2561" t="e">
        <f ca="1">D45</f>
        <v>#N/A</v>
      </c>
      <c r="D64" s="170" t="s">
        <v>26</v>
      </c>
      <c r="E64" s="172"/>
      <c r="F64" s="1804"/>
      <c r="G64" s="1804"/>
      <c r="H64" s="1806"/>
      <c r="I64" s="129"/>
      <c r="J64" s="3696"/>
      <c r="K64" s="3458" t="s">
        <v>1379</v>
      </c>
      <c r="L64" s="3458"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0" t="s">
        <v>1380</v>
      </c>
      <c r="Z64" s="1748"/>
      <c r="AI64" s="1749"/>
    </row>
    <row r="65" spans="1:35" ht="14.25" customHeight="1">
      <c r="A65" s="169" t="s">
        <v>325</v>
      </c>
      <c r="B65" s="170" t="s">
        <v>1381</v>
      </c>
      <c r="C65" s="2562"/>
      <c r="D65" s="170"/>
      <c r="E65" s="172"/>
      <c r="F65" s="1804"/>
      <c r="G65" s="1804"/>
      <c r="H65" s="1806"/>
      <c r="I65" s="129"/>
      <c r="J65" s="3696"/>
      <c r="K65" s="3458" t="s">
        <v>1382</v>
      </c>
      <c r="L65" s="3458" t="e">
        <f ca="1">IF(M49&gt;1000,M49*0.1%,IF(AND(M49&gt;500,M49&lt;=1000),M49*0.5%,IF(AND(M49&gt;50,M49&lt;=500),M49*1%,IF(AND(M49&gt;1,M49&lt;=50),M49*1.5%))))</f>
        <v>#N/A</v>
      </c>
      <c r="M65" s="302" t="e">
        <f t="shared" ca="1" si="1"/>
        <v>#N/A</v>
      </c>
      <c r="N65" s="2540" t="s">
        <v>1380</v>
      </c>
      <c r="Z65" s="1748"/>
      <c r="AI65" s="1749"/>
    </row>
    <row r="66" spans="1:35" ht="14.25" customHeight="1">
      <c r="A66" s="173" t="s">
        <v>326</v>
      </c>
      <c r="B66" s="174" t="s">
        <v>1383</v>
      </c>
      <c r="C66" s="2563"/>
      <c r="D66" s="174" t="s">
        <v>26</v>
      </c>
      <c r="E66" s="1334" t="s">
        <v>670</v>
      </c>
      <c r="F66" s="1804"/>
      <c r="G66" s="1804"/>
      <c r="H66" s="1806"/>
      <c r="I66" s="129"/>
      <c r="J66" s="3696"/>
      <c r="K66" s="3458" t="s">
        <v>1384</v>
      </c>
      <c r="L66" s="3458" t="e">
        <f ca="1">M49*0.5%</f>
        <v>#N/A</v>
      </c>
      <c r="M66" s="302" t="e">
        <f ca="1">IF(L66&gt;0.5,0.5,ROUND(L66,0))</f>
        <v>#N/A</v>
      </c>
      <c r="N66" s="2540" t="s">
        <v>1385</v>
      </c>
      <c r="Z66" s="1748"/>
      <c r="AI66" s="1749"/>
    </row>
    <row r="67" spans="1:35" ht="14.25" customHeight="1">
      <c r="A67" s="173" t="s">
        <v>327</v>
      </c>
      <c r="B67" s="174" t="s">
        <v>1386</v>
      </c>
      <c r="C67" s="2564" t="e">
        <f ca="1">C63-C66</f>
        <v>#N/A</v>
      </c>
      <c r="D67" s="170" t="s">
        <v>26</v>
      </c>
      <c r="E67" s="172"/>
      <c r="F67" s="1804"/>
      <c r="G67" s="1804"/>
      <c r="H67" s="1806"/>
      <c r="I67" s="129"/>
      <c r="J67" s="3696"/>
      <c r="K67" s="3458" t="s">
        <v>1387</v>
      </c>
      <c r="L67" s="3458"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9"/>
      <c r="Z67" s="1748"/>
      <c r="AI67" s="1749"/>
    </row>
    <row r="68" spans="1:35" ht="14.25" customHeight="1" thickBot="1">
      <c r="A68" s="176" t="s">
        <v>328</v>
      </c>
      <c r="B68" s="177" t="s">
        <v>1388</v>
      </c>
      <c r="C68" s="2565" t="e">
        <f ca="1">IF(C67&lt;=0,0,ROUND(C67*D68,0))</f>
        <v>#N/A</v>
      </c>
      <c r="D68" s="2566">
        <f>'数据-取费表'!B41</f>
        <v>5.5000000000000007E-2</v>
      </c>
      <c r="E68" s="178"/>
      <c r="F68" s="1804"/>
      <c r="G68" s="1804"/>
      <c r="H68" s="1806"/>
      <c r="I68" s="129"/>
      <c r="J68" s="3696"/>
      <c r="K68" s="3458" t="s">
        <v>1389</v>
      </c>
      <c r="L68" s="3458" t="e">
        <f ca="1">IF(M49&gt;10000,M49*0.5%,IF(AND(M49&gt;5000,M49&lt;=10000),M49*1%,IF(AND(M49&gt;1000,M49&lt;=5000),M49*2%,IF(AND(M49&gt;200,M49&lt;=1000),M49*3%,M49*5%))))</f>
        <v>#N/A</v>
      </c>
      <c r="M68" s="302" t="e">
        <f ca="1">ROUND(L68,1)</f>
        <v>#N/A</v>
      </c>
      <c r="N68" s="2539"/>
      <c r="Z68" s="1748"/>
      <c r="AI68" s="1749"/>
    </row>
    <row r="69" spans="1:35" s="1768" customFormat="1" ht="16.5" customHeight="1">
      <c r="A69" s="1807"/>
      <c r="B69" s="1808"/>
      <c r="C69" s="1809"/>
      <c r="D69" s="1810"/>
      <c r="E69" s="1811"/>
      <c r="F69" s="1574"/>
      <c r="G69" s="1574"/>
      <c r="H69" s="1573"/>
      <c r="I69" s="1743"/>
      <c r="J69" s="3696"/>
      <c r="K69" s="3458" t="s">
        <v>1390</v>
      </c>
      <c r="L69" s="3458"/>
      <c r="M69" s="302" t="e">
        <f ca="1">ROUND(SUM(M63:M68),0)</f>
        <v>#N/A</v>
      </c>
      <c r="N69" s="2541" t="e">
        <f ca="1">M69/M49</f>
        <v>#N/A</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58" t="s">
        <v>1391</v>
      </c>
      <c r="B70" s="3659"/>
      <c r="C70" s="3659"/>
      <c r="D70" s="3659"/>
      <c r="E70" s="3659"/>
      <c r="F70" s="3659"/>
      <c r="G70" s="3659"/>
      <c r="H70" s="365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7" t="s">
        <v>1372</v>
      </c>
      <c r="B71" s="3638"/>
      <c r="C71" s="3468"/>
      <c r="D71" s="3468"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t="e">
        <f ca="1">ROUND(D45/(1+'数据-取费表'!C42),0)</f>
        <v>#N/A</v>
      </c>
      <c r="D72" s="170" t="s">
        <v>26</v>
      </c>
      <c r="E72" s="3470"/>
      <c r="F72" s="3469"/>
      <c r="G72" s="3469"/>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t="e">
        <f ca="1">C74+C78</f>
        <v>#N/A</v>
      </c>
      <c r="D73" s="170" t="s">
        <v>26</v>
      </c>
      <c r="E73" s="3470"/>
      <c r="F73" s="3469"/>
      <c r="G73" s="3469"/>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3470"/>
      <c r="F74" s="3469"/>
      <c r="G74" s="3469"/>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32" t="s">
        <v>1399</v>
      </c>
      <c r="F76" s="3606"/>
      <c r="G76" s="3606"/>
      <c r="H76" s="365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3457" t="s">
        <v>1401</v>
      </c>
      <c r="F77" s="186"/>
      <c r="G77" s="1818"/>
      <c r="H77" s="3471"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t="e">
        <f ca="1">ROUND(D45*D78/(1+'数据-取费表'!C42),0)</f>
        <v>#N/A</v>
      </c>
      <c r="D78" s="2573">
        <f>'数据-取费表'!B43</f>
        <v>5.000000000000001E-3</v>
      </c>
      <c r="E78" s="3616" t="s">
        <v>1403</v>
      </c>
      <c r="F78" s="3617"/>
      <c r="G78" s="3617"/>
      <c r="H78" s="362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t="e">
        <f ca="1">C72-C73</f>
        <v>#N/A</v>
      </c>
      <c r="D79" s="170" t="s">
        <v>26</v>
      </c>
      <c r="E79" s="3470"/>
      <c r="F79" s="3469"/>
      <c r="G79" s="3469"/>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t="e">
        <f ca="1">IF(C79&lt;=0,0,C79/C73)</f>
        <v>#N/A</v>
      </c>
      <c r="D80" s="170" t="s">
        <v>26</v>
      </c>
      <c r="E80" s="3457" t="e">
        <f ca="1">IF(C80&gt;=200%,"增值额超过扣除项目金额200%",IF(C80&gt;=100%,"增值额超过扣除项目金额100%，未超过200%",IF(C80&gt;=50%,"增值额超过扣除项目金额50%，未超过100%",IF(C80&lt;50%,"增值额未超过扣除项目金额50%"))))</f>
        <v>#N/A</v>
      </c>
      <c r="F80" s="3469"/>
      <c r="G80" s="3469"/>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t="e">
        <f ca="1">ROUND(IF(C79&lt;=0,0,IF(C80&gt;=200%,C79*60%-C73*35%,IF(C80&gt;=100%,C79*50%-C73*15%,IF(C80&gt;=50%,C79*40%-C73*5%,IF(C80&lt;50%,C79*30%,0))))),0)</f>
        <v>#N/A</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8" t="s">
        <v>1407</v>
      </c>
      <c r="B83" s="3659"/>
      <c r="C83" s="3659"/>
      <c r="D83" s="3659"/>
      <c r="E83" s="3659"/>
      <c r="F83" s="3659"/>
      <c r="G83" s="3659"/>
      <c r="H83" s="365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7" t="s">
        <v>1372</v>
      </c>
      <c r="B84" s="3638"/>
      <c r="C84" s="3468"/>
      <c r="D84" s="3468"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t="e">
        <f ca="1">ROUND(D45/(1+'数据-取费表'!C42),0)</f>
        <v>#N/A</v>
      </c>
      <c r="D85" s="170" t="s">
        <v>26</v>
      </c>
      <c r="E85" s="3470"/>
      <c r="F85" s="3469"/>
      <c r="G85" s="3469"/>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t="e">
        <f ca="1">IF(H88="仅含出让金",C87+C90+C91+C92+C93+C94,C87+C91+C92+C93+C94)</f>
        <v>#N/A</v>
      </c>
      <c r="D86" s="2577"/>
      <c r="E86" s="3470"/>
      <c r="F86" s="3469"/>
      <c r="G86" s="3469"/>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0</v>
      </c>
      <c r="D87" s="2573"/>
      <c r="E87" s="3465"/>
      <c r="F87" s="3466"/>
      <c r="G87" s="3466"/>
      <c r="H87" s="3467"/>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c r="D88" s="2573"/>
      <c r="E88" s="193" t="s">
        <v>1410</v>
      </c>
      <c r="F88" s="3466"/>
      <c r="G88" s="194" t="s">
        <v>1411</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0</v>
      </c>
      <c r="D89" s="2573">
        <f>'数据-取费表'!B48+'数据-取费表'!B49</f>
        <v>3.0499999999999999E-2</v>
      </c>
      <c r="E89" s="193" t="s">
        <v>1412</v>
      </c>
      <c r="F89" s="3466"/>
      <c r="G89" s="3466"/>
      <c r="H89" s="3467"/>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3466"/>
      <c r="G90" s="3698" t="s">
        <v>2124</v>
      </c>
      <c r="H90" s="3699"/>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IF(H91="——",成本法!C33,I91)</f>
        <v>0</v>
      </c>
      <c r="D91" s="2573"/>
      <c r="E91" s="3616" t="s">
        <v>1416</v>
      </c>
      <c r="F91" s="3617"/>
      <c r="G91" s="361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ROUND((C87+C90+C91)*D92,0)</f>
        <v>0</v>
      </c>
      <c r="D92" s="2579"/>
      <c r="E92" s="3616" t="s">
        <v>1419</v>
      </c>
      <c r="F92" s="3617"/>
      <c r="G92" s="3617"/>
      <c r="H92" s="3626"/>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t="e">
        <f ca="1">ROUND(D45*D93/(1+'数据-取费表'!C42),0)</f>
        <v>#N/A</v>
      </c>
      <c r="D93" s="2573">
        <f>'数据-取费表'!B43</f>
        <v>5.000000000000001E-3</v>
      </c>
      <c r="E93" s="3616" t="s">
        <v>1403</v>
      </c>
      <c r="F93" s="3617"/>
      <c r="G93" s="3617"/>
      <c r="H93" s="362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ROUND((C87+C90+C91)*D94,0)</f>
        <v>0</v>
      </c>
      <c r="D94" s="2573">
        <v>0.2</v>
      </c>
      <c r="E94" s="3627" t="s">
        <v>1423</v>
      </c>
      <c r="F94" s="3628"/>
      <c r="G94" s="3628"/>
      <c r="H94" s="362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t="e">
        <f ca="1">ROUND(C85-C86,0)</f>
        <v>#N/A</v>
      </c>
      <c r="D95" s="170" t="s">
        <v>26</v>
      </c>
      <c r="E95" s="3470"/>
      <c r="F95" s="3469"/>
      <c r="G95" s="3469"/>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t="e">
        <f ca="1">IF(C95&lt;=0,0,C95/C86)</f>
        <v>#N/A</v>
      </c>
      <c r="D96" s="170" t="s">
        <v>26</v>
      </c>
      <c r="E96" s="3457" t="e">
        <f ca="1">IF(C96&gt;=200%,"增值额超过扣除项目金额200%",IF(C96&gt;=100%,"增值额超过扣除项目金额100%，未超过200%",IF(C96&gt;=50%,"增值额超过扣除项目金额50%，未超过100%",IF(C96&lt;50%,"增值额未超过扣除项目金额50%"))))</f>
        <v>#N/A</v>
      </c>
      <c r="F96" s="3469"/>
      <c r="G96" s="3469"/>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t="e">
        <f ca="1">ROUND(IF(C95&lt;=0,0,IF(C96&gt;=200%,C95*60%-C86*35%,IF(C96&gt;=100%,C95*50%-C86*15%,IF(C96&gt;=50%,C95*40%-C86*5%,IF(C96&lt;50%,C95*30%,0))))),0)</f>
        <v>#N/A</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0" t="s">
        <v>1425</v>
      </c>
      <c r="B100" s="3601"/>
      <c r="C100" s="3601"/>
      <c r="D100" s="3618"/>
      <c r="E100" s="3601" t="s">
        <v>1426</v>
      </c>
      <c r="F100" s="3601"/>
      <c r="G100" s="3601"/>
      <c r="H100" s="3618"/>
      <c r="I100" s="129"/>
    </row>
    <row r="101" spans="1:35" ht="18.75" customHeight="1">
      <c r="A101" s="3679" t="s">
        <v>1427</v>
      </c>
      <c r="B101" s="3680"/>
      <c r="C101" s="2581" t="str">
        <f>C4</f>
        <v>成本法-6号楼</v>
      </c>
      <c r="D101" s="2582" t="str">
        <f>D4</f>
        <v>收益法-6号楼</v>
      </c>
      <c r="E101" s="3693" t="s">
        <v>1428</v>
      </c>
      <c r="F101" s="3650"/>
      <c r="G101" s="1823" t="s">
        <v>1429</v>
      </c>
      <c r="H101" s="2591" t="e">
        <f ca="1">H118</f>
        <v>#N/A</v>
      </c>
      <c r="I101" s="129"/>
    </row>
    <row r="102" spans="1:35" ht="18.75" customHeight="1">
      <c r="A102" s="3652" t="s">
        <v>1430</v>
      </c>
      <c r="B102" s="2580" t="s">
        <v>1429</v>
      </c>
      <c r="C102" s="2581" t="e">
        <f ca="1">IF(D32="楼面单价",ROUND(C19,0),C19)</f>
        <v>#N/A</v>
      </c>
      <c r="D102" s="2582" t="e">
        <f ca="1">IF(D32="楼面单价",ROUND(D19,0),D19)</f>
        <v>#N/A</v>
      </c>
      <c r="E102" s="3693"/>
      <c r="F102" s="3650"/>
      <c r="G102" s="1823" t="s">
        <v>1431</v>
      </c>
      <c r="H102" s="2551" t="e">
        <f ca="1">I118</f>
        <v>#N/A</v>
      </c>
      <c r="I102" s="129"/>
    </row>
    <row r="103" spans="1:35" ht="42.75" customHeight="1">
      <c r="A103" s="3652"/>
      <c r="B103" s="2580" t="s">
        <v>1431</v>
      </c>
      <c r="C103" s="2583" t="e">
        <f ca="1">C20</f>
        <v>#N/A</v>
      </c>
      <c r="D103" s="2584">
        <f ca="1">D20</f>
        <v>0</v>
      </c>
      <c r="E103" s="3687" t="s">
        <v>1432</v>
      </c>
      <c r="F103" s="3688"/>
      <c r="G103" s="1824" t="s">
        <v>1433</v>
      </c>
      <c r="H103" s="2591">
        <f>IF(D36="正常操作",H104+H105+H106,H105+H106)</f>
        <v>0</v>
      </c>
      <c r="I103" s="129"/>
    </row>
    <row r="104" spans="1:35" ht="18.75" customHeight="1">
      <c r="A104" s="3652" t="s">
        <v>1434</v>
      </c>
      <c r="B104" s="2585" t="s">
        <v>1429</v>
      </c>
      <c r="C104" s="2586" t="e">
        <f ca="1">H118</f>
        <v>#N/A</v>
      </c>
      <c r="D104" s="2587"/>
      <c r="E104" s="1670" t="s">
        <v>1435</v>
      </c>
      <c r="F104" s="1662"/>
      <c r="G104" s="1824" t="s">
        <v>1433</v>
      </c>
      <c r="H104" s="2592">
        <f>IF(D36="同一抵押权人同一抵押物续贷",C36&amp;"（续贷，未扣减，详见特别提示）",C36)</f>
        <v>0</v>
      </c>
      <c r="I104" s="129"/>
    </row>
    <row r="105" spans="1:35" ht="18.75" customHeight="1" thickBot="1">
      <c r="A105" s="3653"/>
      <c r="B105" s="2588" t="s">
        <v>1431</v>
      </c>
      <c r="C105" s="2589" t="e">
        <f ca="1">I118</f>
        <v>#N/A</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9" t="str">
        <f>IF(项目基本情况!E8="已注销","——","3.房地产抵押价值")</f>
        <v>3.房地产抵押价值</v>
      </c>
      <c r="F107" s="3650"/>
      <c r="G107" s="1823" t="s">
        <v>1429</v>
      </c>
      <c r="H107" s="2591" t="e">
        <f ca="1">IF(E107="——","——",H101-H103)</f>
        <v>#N/A</v>
      </c>
      <c r="I107" s="129"/>
    </row>
    <row r="108" spans="1:35" ht="18.75" customHeight="1">
      <c r="A108" s="129"/>
      <c r="B108" s="129"/>
      <c r="C108" s="129"/>
      <c r="D108" s="129"/>
      <c r="E108" s="3649"/>
      <c r="F108" s="3650"/>
      <c r="G108" s="1823" t="s">
        <v>1431</v>
      </c>
      <c r="H108" s="2551" t="e">
        <f ca="1">IF(H107=H101,H102,ROUND(H107*10000/'数据-汇总表'!E3,0))</f>
        <v>#N/A</v>
      </c>
      <c r="I108" s="129"/>
    </row>
    <row r="109" spans="1:35" ht="18.75" customHeight="1">
      <c r="A109" s="129"/>
      <c r="B109" s="129"/>
      <c r="C109" s="129"/>
      <c r="D109" s="129"/>
      <c r="E109" s="3649" t="str">
        <f>IF(项目基本情况!E8="已注销及未注销","4.抵押担保权已注销时的房地产抵押价值",IF(项目基本情况!E8="已注销","3.抵押担保权已注销时的房地产抵押价值","——"))</f>
        <v>——</v>
      </c>
      <c r="F109" s="3650"/>
      <c r="G109" s="1823" t="s">
        <v>1429</v>
      </c>
      <c r="H109" s="2594" t="str">
        <f>IF(E109="——","——",H101-H105-H106)</f>
        <v>——</v>
      </c>
      <c r="I109" s="129"/>
    </row>
    <row r="110" spans="1:35" ht="18.75" customHeight="1">
      <c r="A110" s="129"/>
      <c r="B110" s="129"/>
      <c r="C110" s="129"/>
      <c r="D110" s="129"/>
      <c r="E110" s="3649"/>
      <c r="F110" s="3650"/>
      <c r="G110" s="1823" t="s">
        <v>1431</v>
      </c>
      <c r="H110" s="2551" t="str">
        <f>IF(H109="——","——",ROUND(H109*10000/'数据-汇总表'!E3,0))</f>
        <v>——</v>
      </c>
      <c r="I110" s="129"/>
    </row>
    <row r="111" spans="1:35" ht="18.75" customHeight="1">
      <c r="A111" s="129"/>
      <c r="B111" s="129"/>
      <c r="C111" s="129"/>
      <c r="D111" s="129"/>
      <c r="E111" s="3681" t="str">
        <f>IF(项目基本情况!E9="抵押净值",IF(OR(项目基本情况!E8="已注销",项目基本情况!E8="房地产抵押价值"),"4.抵押净值","5.抵押净值"),"——")</f>
        <v>4.抵押净值</v>
      </c>
      <c r="F111" s="3651"/>
      <c r="G111" s="1823" t="s">
        <v>1429</v>
      </c>
      <c r="H111" s="2591" t="e">
        <f ca="1">IF(E111="——","——",N59)</f>
        <v>#N/A</v>
      </c>
      <c r="I111" s="129"/>
    </row>
    <row r="112" spans="1:35" ht="18.75" customHeight="1" thickBot="1">
      <c r="A112" s="129"/>
      <c r="B112" s="129"/>
      <c r="C112" s="129"/>
      <c r="D112" s="129"/>
      <c r="E112" s="3682"/>
      <c r="F112" s="3683"/>
      <c r="G112" s="1826" t="s">
        <v>1431</v>
      </c>
      <c r="H112" s="2595" t="e">
        <f ca="1">IF(E111="——","——",N61)</f>
        <v>#N/A</v>
      </c>
      <c r="I112" s="129"/>
    </row>
    <row r="113" spans="1:27" ht="18.75" customHeight="1">
      <c r="A113" s="129"/>
      <c r="B113" s="129"/>
      <c r="C113" s="129"/>
      <c r="D113" s="129"/>
      <c r="E113" s="3654" t="s">
        <v>1437</v>
      </c>
      <c r="F113" s="3654"/>
      <c r="G113" s="3654"/>
      <c r="H113" s="3654"/>
      <c r="I113" s="129"/>
    </row>
    <row r="114" spans="1:27" ht="3.75" customHeight="1">
      <c r="A114" s="1743"/>
      <c r="B114" s="1743"/>
      <c r="C114" s="1743"/>
      <c r="D114" s="1743"/>
      <c r="E114" s="1805"/>
      <c r="F114" s="1805"/>
      <c r="G114" s="1805"/>
      <c r="H114" s="1805"/>
      <c r="I114" s="1743"/>
    </row>
    <row r="115" spans="1:27" ht="18.75" customHeight="1">
      <c r="A115" s="3664" t="s">
        <v>1439</v>
      </c>
      <c r="B115" s="3665"/>
      <c r="C115" s="3665"/>
      <c r="D115" s="3665"/>
      <c r="E115" s="3665"/>
      <c r="F115" s="3665"/>
      <c r="G115" s="3665"/>
      <c r="H115" s="3665"/>
      <c r="I115" s="3666"/>
    </row>
    <row r="116" spans="1:27" ht="27" customHeight="1">
      <c r="A116" s="3620" t="s">
        <v>1440</v>
      </c>
      <c r="B116" s="3655" t="s">
        <v>1441</v>
      </c>
      <c r="C116" s="3655" t="s">
        <v>1442</v>
      </c>
      <c r="D116" s="3668" t="s">
        <v>1443</v>
      </c>
      <c r="E116" s="3669"/>
      <c r="F116" s="3663" t="s">
        <v>1444</v>
      </c>
      <c r="G116" s="3663"/>
      <c r="H116" s="3620" t="s">
        <v>1445</v>
      </c>
      <c r="I116" s="3620"/>
    </row>
    <row r="117" spans="1:27" ht="18.75" customHeight="1">
      <c r="A117" s="3620"/>
      <c r="B117" s="3656"/>
      <c r="C117" s="3656"/>
      <c r="D117" s="3460" t="s">
        <v>1446</v>
      </c>
      <c r="E117" s="3460" t="s">
        <v>1447</v>
      </c>
      <c r="F117" s="3460" t="s">
        <v>1446</v>
      </c>
      <c r="G117" s="3460" t="s">
        <v>1448</v>
      </c>
      <c r="H117" s="3460" t="s">
        <v>1446</v>
      </c>
      <c r="I117" s="3460" t="s">
        <v>1448</v>
      </c>
    </row>
    <row r="118" spans="1:27" ht="24.75" customHeight="1">
      <c r="A118" s="2596" t="str">
        <f>项目基本情况!S2</f>
        <v>北京市房地产</v>
      </c>
      <c r="B118" s="3460">
        <f>M18</f>
        <v>0</v>
      </c>
      <c r="C118" s="3460">
        <f>M19</f>
        <v>0</v>
      </c>
      <c r="D118" s="3460" t="e">
        <f ca="1">ROUND(IF(D32="总价",C34,E118*B118/10000),0)</f>
        <v>#N/A</v>
      </c>
      <c r="E118" s="3460" t="e">
        <f ca="1">ROUND(IF(C33="自定义",IF(D32="楼面单价",C34,D118*10000/B118),I118-G118),0)</f>
        <v>#N/A</v>
      </c>
      <c r="F118" s="3460" t="e">
        <f ca="1">ROUND(IF(D32="总价",C35,G118*B118/10000),0)</f>
        <v>#N/A</v>
      </c>
      <c r="G118" s="3460" t="e">
        <f ca="1">ROUND(IF(D32="楼面单价",C35,F118*10000/B118),0)</f>
        <v>#N/A</v>
      </c>
      <c r="H118" s="3460" t="e">
        <f ca="1">ROUND(IF(D32="总价",C32,I118*B118/10000),0)</f>
        <v>#N/A</v>
      </c>
      <c r="I118" s="3460" t="e">
        <f ca="1">ROUND(IF(D32="楼面单价",C32,H118*10000/B118),0)</f>
        <v>#N/A</v>
      </c>
    </row>
    <row r="119" spans="1:27" ht="18.75" customHeight="1">
      <c r="A119" s="3620" t="s">
        <v>1449</v>
      </c>
      <c r="B119" s="3620"/>
      <c r="C119" s="3620"/>
      <c r="D119" s="3660" t="e">
        <f ca="1">NUMBERSTRING(INT(D118*10000),2)&amp;"元整"</f>
        <v>#N/A</v>
      </c>
      <c r="E119" s="3662"/>
      <c r="F119" s="3660" t="e">
        <f ca="1">NUMBERSTRING(INT(F118*10000),2)&amp;"元整"</f>
        <v>#N/A</v>
      </c>
      <c r="G119" s="3662"/>
      <c r="H119" s="3660" t="e">
        <f ca="1">NUMBERSTRING(INT(H118*10000),2)&amp;"元整"</f>
        <v>#N/A</v>
      </c>
      <c r="I119" s="3662"/>
    </row>
    <row r="120" spans="1:27" ht="18.75" customHeight="1">
      <c r="A120" s="3684" t="str">
        <f>IF(项目基本情况!B9="房地产市场价值","",MID(E103,3,LEN(E103)-2))</f>
        <v>估价师知悉的法定优先受偿款</v>
      </c>
      <c r="B120" s="3685"/>
      <c r="C120" s="3686"/>
      <c r="D120" s="3684">
        <f>H103</f>
        <v>0</v>
      </c>
      <c r="E120" s="3685"/>
      <c r="F120" s="3685"/>
      <c r="G120" s="3685"/>
      <c r="H120" s="3685"/>
      <c r="I120" s="368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60" t="s">
        <v>1449</v>
      </c>
      <c r="B121" s="3661"/>
      <c r="C121" s="3662"/>
      <c r="D121" s="3660" t="str">
        <f>IF(D120=0,"零元整",NUMBERSTRING(INT(D120*10000),2)&amp;"元整")</f>
        <v>零元整</v>
      </c>
      <c r="E121" s="3661"/>
      <c r="F121" s="3661"/>
      <c r="G121" s="3661"/>
      <c r="H121" s="3661"/>
      <c r="I121" s="3662"/>
      <c r="AA121" s="724"/>
    </row>
    <row r="122" spans="1:27" ht="18.75" customHeight="1">
      <c r="A122" s="3651" t="str">
        <f>IF(项目基本情况!B9="房地产市场价值","",MID(E107,3,LEN(E107)-2))</f>
        <v>房地产抵押价值</v>
      </c>
      <c r="B122" s="3651"/>
      <c r="C122" s="3651"/>
      <c r="D122" s="3684" t="e">
        <f ca="1">H107</f>
        <v>#N/A</v>
      </c>
      <c r="E122" s="3685"/>
      <c r="F122" s="3685"/>
      <c r="G122" s="3685"/>
      <c r="H122" s="3685"/>
      <c r="I122" s="3686"/>
      <c r="AA122" s="724"/>
    </row>
    <row r="123" spans="1:27" ht="18.75" customHeight="1">
      <c r="A123" s="3620" t="s">
        <v>1449</v>
      </c>
      <c r="B123" s="3620"/>
      <c r="C123" s="3620"/>
      <c r="D123" s="3660" t="e">
        <f ca="1">NUMBERSTRING(INT(D122*10000),2)&amp;"元整"</f>
        <v>#N/A</v>
      </c>
      <c r="E123" s="3661"/>
      <c r="F123" s="3661"/>
      <c r="G123" s="3661"/>
      <c r="H123" s="3661"/>
      <c r="I123" s="3662"/>
      <c r="AA123" s="724"/>
    </row>
    <row r="124" spans="1:27" ht="18.75" customHeight="1">
      <c r="A124" s="3651" t="str">
        <f>IF(项目基本情况!B9="房地产市场价值","",MID(E109,3,LEN(E109)-2))</f>
        <v/>
      </c>
      <c r="B124" s="3651"/>
      <c r="C124" s="3651"/>
      <c r="D124" s="3684" t="str">
        <f>H109</f>
        <v>——</v>
      </c>
      <c r="E124" s="3685"/>
      <c r="F124" s="3685"/>
      <c r="G124" s="3685"/>
      <c r="H124" s="3685"/>
      <c r="I124" s="3686"/>
      <c r="AA124" s="724"/>
    </row>
    <row r="125" spans="1:27" ht="18.75" customHeight="1">
      <c r="A125" s="3620" t="s">
        <v>1449</v>
      </c>
      <c r="B125" s="3620"/>
      <c r="C125" s="3620"/>
      <c r="D125" s="3660" t="e">
        <f>NUMBERSTRING(INT(D124*10000),2)&amp;"元整"</f>
        <v>#VALUE!</v>
      </c>
      <c r="E125" s="3661"/>
      <c r="F125" s="3661"/>
      <c r="G125" s="3661"/>
      <c r="H125" s="3661"/>
      <c r="I125" s="3662"/>
      <c r="AA125" s="724"/>
    </row>
    <row r="126" spans="1:27" ht="18.75" customHeight="1">
      <c r="A126" s="3651" t="str">
        <f>IF(项目基本情况!B9="房地产市场价值","",MID(E111,3,LEN(E111)-2))</f>
        <v>抵押净值</v>
      </c>
      <c r="B126" s="3651"/>
      <c r="C126" s="3651"/>
      <c r="D126" s="3684" t="e">
        <f ca="1">H111</f>
        <v>#N/A</v>
      </c>
      <c r="E126" s="3685"/>
      <c r="F126" s="3685"/>
      <c r="G126" s="3685"/>
      <c r="H126" s="3685"/>
      <c r="I126" s="3686"/>
      <c r="AA126" s="724"/>
    </row>
    <row r="127" spans="1:27" ht="18.75" customHeight="1">
      <c r="A127" s="3620" t="s">
        <v>1449</v>
      </c>
      <c r="B127" s="3620"/>
      <c r="C127" s="3620"/>
      <c r="D127" s="3660" t="e">
        <f ca="1">NUMBERSTRING(INT(D126*10000),2)&amp;"元整"</f>
        <v>#N/A</v>
      </c>
      <c r="E127" s="3661"/>
      <c r="F127" s="3661"/>
      <c r="G127" s="3661"/>
      <c r="H127" s="3661"/>
      <c r="I127" s="3662"/>
      <c r="AA127" s="724"/>
    </row>
    <row r="128" spans="1:27" ht="21.75" customHeight="1">
      <c r="A128" s="3667" t="s">
        <v>1450</v>
      </c>
      <c r="B128" s="3667"/>
      <c r="C128" s="3667"/>
      <c r="D128" s="3667"/>
      <c r="E128" s="3667"/>
      <c r="F128" s="3667"/>
      <c r="G128" s="3667"/>
      <c r="H128" s="3667"/>
      <c r="I128" s="3667"/>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t="s">
        <v>3449</v>
      </c>
      <c r="C1" s="198"/>
      <c r="D1" s="198"/>
      <c r="E1" s="198"/>
      <c r="F1" s="198"/>
      <c r="G1" s="1122" t="e">
        <f>MATCH(B1,'数据-取费表'!A6:A16,0)+5</f>
        <v>#N/A</v>
      </c>
    </row>
    <row r="2" spans="1:9" s="200" customFormat="1" ht="18" customHeight="1">
      <c r="A2" s="201" t="s">
        <v>1459</v>
      </c>
      <c r="B2" s="202" t="e">
        <f ca="1">IF(D2="——",C52,C52-E2)</f>
        <v>#N/A</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t="e">
        <f ca="1">ROUND(B2*10000/(IF(B1="",'数据-汇总表'!E3,INDIRECT("'数据-取费表'!k"&amp;$G$1))),0)</f>
        <v>#N/A</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t="e">
        <f ca="1">C6+C7+C8</f>
        <v>#N/A</v>
      </c>
      <c r="D5" s="211" t="s">
        <v>1466</v>
      </c>
      <c r="E5" s="212" t="s">
        <v>1467</v>
      </c>
      <c r="F5" s="212" t="s">
        <v>1468</v>
      </c>
      <c r="G5" s="213"/>
    </row>
    <row r="6" spans="1:9" s="214" customFormat="1" ht="13.5" customHeight="1">
      <c r="A6" s="774" t="s">
        <v>1469</v>
      </c>
      <c r="B6" s="215" t="s">
        <v>1470</v>
      </c>
      <c r="C6" s="216">
        <f>'基准地价修正 (2)'!D33+'基准地价修正 (2)'!D37</f>
        <v>0</v>
      </c>
      <c r="D6" s="217"/>
      <c r="E6" s="218"/>
      <c r="F6" s="218"/>
      <c r="G6" s="219"/>
    </row>
    <row r="7" spans="1:9" s="214" customFormat="1" ht="13.5" customHeight="1">
      <c r="A7" s="774" t="s">
        <v>1471</v>
      </c>
      <c r="B7" s="215" t="s">
        <v>1472</v>
      </c>
      <c r="C7" s="220">
        <f>ROUND(C6*F7,0)</f>
        <v>0</v>
      </c>
      <c r="D7" s="220"/>
      <c r="E7" s="218"/>
      <c r="F7" s="221">
        <f>IF(项目基本情况!B8="出让",0,'数据-取费表'!B48+'数据-取费表'!B49)</f>
        <v>3.0499999999999999E-2</v>
      </c>
      <c r="G7" s="219"/>
    </row>
    <row r="8" spans="1:9" s="223" customFormat="1">
      <c r="A8" s="774" t="s">
        <v>1473</v>
      </c>
      <c r="B8" s="215" t="s">
        <v>1474</v>
      </c>
      <c r="C8" s="220" t="e">
        <f ca="1">IF(G8="已包含在土地购买价格中","0",IF(B1="",'数据-取费表'!B29,IF(G9="全部缴纳",C9+C10,H9)))</f>
        <v>#N/A</v>
      </c>
      <c r="D8" s="222"/>
      <c r="E8" s="220"/>
      <c r="F8" s="221"/>
      <c r="G8" s="1852" t="s">
        <v>3433</v>
      </c>
    </row>
    <row r="9" spans="1:9" s="214" customFormat="1" ht="13.5" customHeight="1">
      <c r="A9" s="775" t="s">
        <v>354</v>
      </c>
      <c r="B9" s="224" t="s">
        <v>1475</v>
      </c>
      <c r="C9" s="225" t="e">
        <f ca="1">ROUND(D9*E9/10000,0)</f>
        <v>#N/A</v>
      </c>
      <c r="D9" s="841" t="e">
        <f ca="1">IF(B1="",'数据-汇总表'!E5,IF(INDIRECT("'数据-取费表'!c"&amp;$G$1)="住宅",INDIRECT("'数据-取费表'!k"&amp;$G$1),0))</f>
        <v>#N/A</v>
      </c>
      <c r="E9" s="225">
        <f>'数据-取费表'!B27</f>
        <v>0</v>
      </c>
      <c r="F9" s="221"/>
      <c r="G9" s="1853" t="s">
        <v>3439</v>
      </c>
      <c r="H9" s="1133"/>
      <c r="I9" s="1854" t="s">
        <v>1476</v>
      </c>
    </row>
    <row r="10" spans="1:9" s="214" customFormat="1" ht="13.5" customHeight="1">
      <c r="A10" s="775" t="s">
        <v>355</v>
      </c>
      <c r="B10" s="224" t="s">
        <v>1477</v>
      </c>
      <c r="C10" s="225" t="e">
        <f ca="1">ROUND(D10*E10/10000,0)</f>
        <v>#N/A</v>
      </c>
      <c r="D10" s="841"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1474</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1474</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t="e">
        <f ca="1">D9+D10</f>
        <v>#N/A</v>
      </c>
      <c r="E19" s="211">
        <f>'数据-取费表'!B31</f>
        <v>200</v>
      </c>
      <c r="F19" s="231"/>
      <c r="G19" s="1852" t="s">
        <v>3434</v>
      </c>
    </row>
    <row r="20" spans="1:7" s="214" customFormat="1" ht="13.5" customHeight="1">
      <c r="A20" s="255" t="s">
        <v>1490</v>
      </c>
      <c r="B20" s="210" t="s">
        <v>1491</v>
      </c>
      <c r="C20" s="232" t="e">
        <f ca="1">ROUND((C5+C19)*F20,0)</f>
        <v>#N/A</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t="e">
        <f ca="1">ROUND(SUM(C23:C25),0)</f>
        <v>#N/A</v>
      </c>
      <c r="D22" s="235">
        <f ca="1">C26</f>
        <v>5.0000000000000001E-4</v>
      </c>
      <c r="E22" s="236" t="s">
        <v>1495</v>
      </c>
      <c r="F22" s="237">
        <f ca="1">'数据-取费表'!B40</f>
        <v>3.4500000000000003E-2</v>
      </c>
      <c r="G22" s="234" t="str">
        <f>IF('数据-取费表'!B22&lt;=1,"单利计息","复利计息")</f>
        <v>复利计息</v>
      </c>
    </row>
    <row r="23" spans="1:7" s="214" customFormat="1" ht="13.5" customHeight="1">
      <c r="A23" s="776" t="s">
        <v>1469</v>
      </c>
      <c r="B23" s="215" t="s">
        <v>1500</v>
      </c>
      <c r="C23" s="1101" t="e">
        <f ca="1">ROUND(IF('数据-取费表'!B22&lt;=1,C5*F22*'数据-取费表'!B23,C5*(POWER((1+F22),'数据-取费表'!B23)-1)),0)</f>
        <v>#N/A</v>
      </c>
      <c r="D23" s="238"/>
      <c r="E23" s="238"/>
      <c r="F23" s="239"/>
      <c r="G23" s="240" t="s">
        <v>1501</v>
      </c>
    </row>
    <row r="24" spans="1:7" s="214" customFormat="1" ht="13.5" customHeight="1">
      <c r="A24" s="776" t="s">
        <v>1471</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1473</v>
      </c>
      <c r="B25" s="215" t="s">
        <v>1506</v>
      </c>
      <c r="C25" s="1101" t="e">
        <f ca="1">ROUND(IF('数据-取费表'!B22&lt;=1,C20*F22*'数据-取费表'!B23/2,C20*(POWER((1+F22),'数据-取费表'!B23/2)-1)),0)</f>
        <v>#N/A</v>
      </c>
      <c r="D25" s="238"/>
      <c r="E25" s="241"/>
      <c r="F25" s="239"/>
      <c r="G25" s="242" t="s">
        <v>1507</v>
      </c>
    </row>
    <row r="26" spans="1:7" s="214" customFormat="1">
      <c r="A26" s="776" t="s">
        <v>349</v>
      </c>
      <c r="B26" s="215" t="s">
        <v>1508</v>
      </c>
      <c r="C26" s="238">
        <f ca="1">ROUND(IF('数据-取费表'!B22&lt;=1,F21*F22*'数据-取费表'!B23/2,F21*(POWER((1+F22),'数据-取费表'!B23/2)-1)),4)</f>
        <v>5.0000000000000001E-4</v>
      </c>
      <c r="D26" s="238"/>
      <c r="E26" s="241"/>
      <c r="F26" s="239"/>
      <c r="G26" s="243"/>
    </row>
    <row r="27" spans="1:7" s="214" customFormat="1" ht="24.75">
      <c r="A27" s="255" t="s">
        <v>1509</v>
      </c>
      <c r="B27" s="244" t="s">
        <v>1510</v>
      </c>
      <c r="C27" s="245" t="e">
        <f ca="1">C28</f>
        <v>#N/A</v>
      </c>
      <c r="D27" s="235" t="e">
        <f ca="1">C29</f>
        <v>#N/A</v>
      </c>
      <c r="E27" s="236" t="s">
        <v>1495</v>
      </c>
      <c r="F27" s="246" t="e">
        <f ca="1">IF(B1="",'数据-取费表'!Q16,INDIRECT("'数据-取费表'!q"&amp;$G$1))</f>
        <v>#N/A</v>
      </c>
      <c r="G27" s="247" t="s">
        <v>1512</v>
      </c>
    </row>
    <row r="28" spans="1:7" s="214" customFormat="1" ht="13.5" customHeight="1">
      <c r="A28" s="776" t="s">
        <v>345</v>
      </c>
      <c r="B28" s="248" t="s">
        <v>1513</v>
      </c>
      <c r="C28" s="249" t="e">
        <f ca="1">ROUND((C5+C19+C20)*F27*'数据-取费表'!B21/'数据-取费表'!B20,0)</f>
        <v>#N/A</v>
      </c>
      <c r="D28" s="235"/>
      <c r="E28" s="236"/>
      <c r="F28" s="246"/>
      <c r="G28" s="247"/>
    </row>
    <row r="29" spans="1:7" s="214" customFormat="1" ht="13.5" customHeight="1">
      <c r="A29" s="776" t="s">
        <v>346</v>
      </c>
      <c r="B29" s="248" t="s">
        <v>1514</v>
      </c>
      <c r="C29" s="238" t="e">
        <f ca="1">ROUND(C21*F27*'数据-取费表'!B21/'数据-取费表'!B20,4)</f>
        <v>#N/A</v>
      </c>
      <c r="D29" s="235"/>
      <c r="E29" s="236"/>
      <c r="F29" s="246"/>
      <c r="G29" s="247"/>
    </row>
    <row r="30" spans="1:7" s="214" customFormat="1" ht="13.5" customHeight="1">
      <c r="A30" s="255" t="s">
        <v>1515</v>
      </c>
      <c r="B30" s="210" t="s">
        <v>1516</v>
      </c>
      <c r="C30" s="235">
        <f>ROUND(F30/(1+'数据-取费表'!C42),4)</f>
        <v>5.2400000000000002E-2</v>
      </c>
      <c r="D30" s="236" t="s">
        <v>1495</v>
      </c>
      <c r="E30" s="241"/>
      <c r="F30" s="237">
        <f>'数据-取费表'!B41</f>
        <v>5.5000000000000007E-2</v>
      </c>
      <c r="G30" s="234" t="s">
        <v>1517</v>
      </c>
    </row>
    <row r="31" spans="1:7" ht="16.5" customHeight="1">
      <c r="A31" s="209">
        <v>1</v>
      </c>
      <c r="B31" s="210" t="s">
        <v>1518</v>
      </c>
      <c r="C31" s="211" t="e">
        <f ca="1">ROUND((C5+C19+C20+C22+C27)/(1-C21-D22-D27-C30),0)</f>
        <v>#N/A</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t="e">
        <f ca="1">SUM(C34:C38)</f>
        <v>#N/A</v>
      </c>
      <c r="D33" s="232"/>
      <c r="E33" s="212"/>
      <c r="F33" s="241"/>
      <c r="G33" s="234"/>
    </row>
    <row r="34" spans="1:7" s="258" customFormat="1" ht="13.5" customHeight="1">
      <c r="A34" s="776" t="s">
        <v>345</v>
      </c>
      <c r="B34" s="215" t="s">
        <v>1522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1523</v>
      </c>
    </row>
    <row r="35" spans="1:7" ht="13.5" customHeight="1">
      <c r="A35" s="776" t="s">
        <v>350</v>
      </c>
      <c r="B35" s="215" t="s">
        <v>1524</v>
      </c>
      <c r="C35" s="220" t="e">
        <f ca="1">ROUND(C34*F35,0)</f>
        <v>#N/A</v>
      </c>
      <c r="D35" s="220"/>
      <c r="E35" s="220"/>
      <c r="F35" s="259">
        <f>'数据-取费表'!B33</f>
        <v>0.03</v>
      </c>
      <c r="G35" s="219" t="s">
        <v>1525</v>
      </c>
    </row>
    <row r="36" spans="1:7" ht="24">
      <c r="A36" s="776" t="s">
        <v>351</v>
      </c>
      <c r="B36" s="215" t="s">
        <v>1526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1527</v>
      </c>
    </row>
    <row r="37" spans="1:7" s="258" customFormat="1" ht="13.5" customHeight="1">
      <c r="A37" s="776" t="s">
        <v>352</v>
      </c>
      <c r="B37" s="215" t="s">
        <v>1528</v>
      </c>
      <c r="C37" s="249" t="e">
        <f ca="1">ROUND(E37*D37*F34/10000,0)</f>
        <v>#N/A</v>
      </c>
      <c r="D37" s="217" t="e">
        <f ca="1">D19</f>
        <v>#N/A</v>
      </c>
      <c r="E37" s="249">
        <f>'数据-取费表'!B35</f>
        <v>200</v>
      </c>
      <c r="F37" s="259"/>
      <c r="G37" s="261" t="s">
        <v>1529</v>
      </c>
    </row>
    <row r="38" spans="1:7" ht="13.5" customHeight="1">
      <c r="A38" s="776" t="s">
        <v>353</v>
      </c>
      <c r="B38" s="215" t="s">
        <v>1530</v>
      </c>
      <c r="C38" s="220" t="e">
        <f ca="1">ROUND(C34*F38,0)</f>
        <v>#N/A</v>
      </c>
      <c r="D38" s="220"/>
      <c r="E38" s="220"/>
      <c r="F38" s="259">
        <f>'数据-取费表'!B36</f>
        <v>0.02</v>
      </c>
      <c r="G38" s="219" t="s">
        <v>1525</v>
      </c>
    </row>
    <row r="39" spans="1:7" s="214" customFormat="1" ht="13.5" customHeight="1">
      <c r="A39" s="255" t="s">
        <v>1488</v>
      </c>
      <c r="B39" s="210" t="s">
        <v>1491</v>
      </c>
      <c r="C39" s="232" t="e">
        <f ca="1">ROUND(C33*F20,0)</f>
        <v>#N/A</v>
      </c>
      <c r="D39" s="232"/>
      <c r="E39" s="232"/>
      <c r="F39" s="233">
        <f>F20</f>
        <v>0.02</v>
      </c>
      <c r="G39" s="234" t="s">
        <v>1533</v>
      </c>
    </row>
    <row r="40" spans="1:7" s="214" customFormat="1" ht="13.5" customHeight="1">
      <c r="A40" s="255" t="s">
        <v>1490</v>
      </c>
      <c r="B40" s="210" t="s">
        <v>1494</v>
      </c>
      <c r="C40" s="1323">
        <f>F21</f>
        <v>0.02</v>
      </c>
      <c r="D40" s="236" t="s">
        <v>1536</v>
      </c>
      <c r="E40" s="232"/>
      <c r="F40" s="233">
        <f>F21</f>
        <v>0.02</v>
      </c>
      <c r="G40" s="234" t="s">
        <v>1537</v>
      </c>
    </row>
    <row r="41" spans="1:7" s="214" customFormat="1" ht="13.5" customHeight="1">
      <c r="A41" s="255" t="s">
        <v>1493</v>
      </c>
      <c r="B41" s="210" t="s">
        <v>1498</v>
      </c>
      <c r="C41" s="232" t="e">
        <f ca="1">ROUND(SUM(C42:C43),0)</f>
        <v>#N/A</v>
      </c>
      <c r="D41" s="235">
        <f ca="1">C44</f>
        <v>5.0000000000000001E-4</v>
      </c>
      <c r="E41" s="236" t="s">
        <v>1536</v>
      </c>
      <c r="F41" s="237">
        <f ca="1">F22</f>
        <v>3.4500000000000003E-2</v>
      </c>
      <c r="G41" s="234" t="str">
        <f>IF('数据-取费表'!B22&lt;=1,"单利计息","复利计息")</f>
        <v>复利计息</v>
      </c>
    </row>
    <row r="42" spans="1:7" ht="13.5" customHeight="1">
      <c r="A42" s="776" t="s">
        <v>345</v>
      </c>
      <c r="B42" s="215" t="s">
        <v>1500</v>
      </c>
      <c r="C42" s="238" t="e">
        <f ca="1">ROUND(IF('数据-取费表'!B22&lt;=1,C33*F22*'数据-取费表'!B21/2,C33*(POWER((1+F22),'数据-取费表'!B21/2)-1)),0)</f>
        <v>#N/A</v>
      </c>
      <c r="D42" s="238"/>
      <c r="E42" s="238"/>
      <c r="F42" s="239"/>
      <c r="G42" s="3700" t="s">
        <v>1541</v>
      </c>
    </row>
    <row r="43" spans="1:7" ht="13.5" customHeight="1">
      <c r="A43" s="776" t="s">
        <v>346</v>
      </c>
      <c r="B43" s="215" t="s">
        <v>1503</v>
      </c>
      <c r="C43" s="238" t="e">
        <f ca="1">ROUND(IF('数据-取费表'!B22&lt;=1,C39*F22*'数据-取费表'!B21/2,C39*(POWER((1+F22),'数据-取费表'!B21/2)-1)),0)</f>
        <v>#N/A</v>
      </c>
      <c r="D43" s="238"/>
      <c r="E43" s="238"/>
      <c r="F43" s="239"/>
      <c r="G43" s="3701"/>
    </row>
    <row r="44" spans="1:7" ht="13.5" customHeight="1">
      <c r="A44" s="776" t="s">
        <v>347</v>
      </c>
      <c r="B44" s="215" t="s">
        <v>1506</v>
      </c>
      <c r="C44" s="238">
        <f ca="1">ROUND(IF('数据-取费表'!B22&lt;=1,C40*F22*'数据-取费表'!B21/2,C40*(POWER((1+F22),'数据-取费表'!B21/2)-1)),4)</f>
        <v>5.0000000000000001E-4</v>
      </c>
      <c r="D44" s="238"/>
      <c r="E44" s="238"/>
      <c r="F44" s="239"/>
      <c r="G44" s="3702"/>
    </row>
    <row r="45" spans="1:7" s="214" customFormat="1" ht="13.5" customHeight="1">
      <c r="A45" s="255" t="s">
        <v>1497</v>
      </c>
      <c r="B45" s="244" t="s">
        <v>1510</v>
      </c>
      <c r="C45" s="245" t="e">
        <f ca="1">C46</f>
        <v>#N/A</v>
      </c>
      <c r="D45" s="235" t="e">
        <f ca="1">C47</f>
        <v>#N/A</v>
      </c>
      <c r="E45" s="236" t="s">
        <v>1536</v>
      </c>
      <c r="F45" s="246" t="e">
        <f ca="1">F27</f>
        <v>#N/A</v>
      </c>
      <c r="G45" s="247" t="s">
        <v>1545</v>
      </c>
    </row>
    <row r="46" spans="1:7" s="214" customFormat="1" ht="13.5" customHeight="1">
      <c r="A46" s="776" t="s">
        <v>345</v>
      </c>
      <c r="B46" s="248" t="s">
        <v>1546</v>
      </c>
      <c r="C46" s="249" t="e">
        <f ca="1">ROUND((C33+C39)*F27,0)</f>
        <v>#N/A</v>
      </c>
      <c r="D46" s="263"/>
      <c r="E46" s="236"/>
      <c r="F46" s="246"/>
      <c r="G46" s="247"/>
    </row>
    <row r="47" spans="1:7" s="214" customFormat="1" ht="13.5" customHeight="1">
      <c r="A47" s="776" t="s">
        <v>346</v>
      </c>
      <c r="B47" s="248" t="s">
        <v>1547</v>
      </c>
      <c r="C47" s="238" t="e">
        <f ca="1">ROUND(C40*F27,4)</f>
        <v>#N/A</v>
      </c>
      <c r="D47" s="263"/>
      <c r="E47" s="236"/>
      <c r="F47" s="246"/>
      <c r="G47" s="247"/>
    </row>
    <row r="48" spans="1:7" s="214" customFormat="1" ht="13.5" customHeight="1">
      <c r="A48" s="255" t="s">
        <v>1509</v>
      </c>
      <c r="B48" s="210" t="s">
        <v>1548</v>
      </c>
      <c r="C48" s="1323">
        <f>ROUND(F30/(1+'数据-取费表'!C42),4)</f>
        <v>5.2400000000000002E-2</v>
      </c>
      <c r="D48" s="236" t="s">
        <v>1536</v>
      </c>
      <c r="E48" s="232"/>
      <c r="F48" s="237">
        <f>F30</f>
        <v>5.5000000000000007E-2</v>
      </c>
      <c r="G48" s="234" t="s">
        <v>1549</v>
      </c>
    </row>
    <row r="49" spans="1:7" ht="16.5" customHeight="1">
      <c r="A49" s="255" t="s">
        <v>1515</v>
      </c>
      <c r="B49" s="210" t="s">
        <v>1550</v>
      </c>
      <c r="C49" s="232" t="e">
        <f ca="1">ROUND((C33+C39+C41+C45)/(1-C40-D41-D45-C48),0)</f>
        <v>#N/A</v>
      </c>
      <c r="D49" s="232"/>
      <c r="E49" s="232"/>
      <c r="F49" s="264"/>
      <c r="G49" s="234" t="s">
        <v>1551</v>
      </c>
    </row>
    <row r="50" spans="1:7" s="258" customFormat="1" ht="24">
      <c r="A50" s="255" t="s">
        <v>1552</v>
      </c>
      <c r="B50" s="210" t="s">
        <v>1553</v>
      </c>
      <c r="C50" s="232"/>
      <c r="D50" s="232"/>
      <c r="E50" s="232"/>
      <c r="F50" s="264">
        <f>IF('数据-取费表'!B24=0,'数据-取费表'!N16,1)</f>
        <v>0.69</v>
      </c>
      <c r="G50" s="247" t="s">
        <v>1554</v>
      </c>
    </row>
    <row r="51" spans="1:7" ht="16.5" customHeight="1">
      <c r="A51" s="255" t="s">
        <v>1555</v>
      </c>
      <c r="B51" s="210" t="s">
        <v>1556</v>
      </c>
      <c r="C51" s="232" t="e">
        <f ca="1">ROUND(C49*F50,0)</f>
        <v>#N/A</v>
      </c>
      <c r="D51" s="232"/>
      <c r="E51" s="232"/>
      <c r="F51" s="264"/>
      <c r="G51" s="234" t="s">
        <v>1557</v>
      </c>
    </row>
    <row r="52" spans="1:7" s="208" customFormat="1" ht="16.5" thickBot="1">
      <c r="A52" s="265" t="s">
        <v>1558</v>
      </c>
      <c r="B52" s="266"/>
      <c r="C52" s="267" t="e">
        <f ca="1">C31+C51</f>
        <v>#N/A</v>
      </c>
      <c r="D52" s="266"/>
      <c r="E52" s="266"/>
      <c r="F52" s="266"/>
      <c r="G52" s="268"/>
    </row>
    <row r="55" spans="1:7" ht="15">
      <c r="B55" s="270" t="s">
        <v>1559</v>
      </c>
      <c r="C55" s="271"/>
    </row>
    <row r="56" spans="1:7">
      <c r="B56" s="273" t="s">
        <v>801</v>
      </c>
      <c r="C56" s="275" t="e">
        <f ca="1">1-C57</f>
        <v>#N/A</v>
      </c>
    </row>
    <row r="57" spans="1:7">
      <c r="B57" s="273" t="s">
        <v>802</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3449</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705" t="s">
        <v>693</v>
      </c>
      <c r="C6" s="1070" t="e">
        <f ca="1">ROUND(F6*F8*F7*(1-F9)/10000,0)</f>
        <v>#N/A</v>
      </c>
      <c r="D6" s="155" t="s">
        <v>2104</v>
      </c>
      <c r="E6" s="302" t="s">
        <v>695</v>
      </c>
      <c r="F6" s="303" t="e">
        <f ca="1">INDIRECT("'数据-取费表'!u"&amp;$G$1)</f>
        <v>#N/A</v>
      </c>
      <c r="G6" s="1380"/>
      <c r="H6" s="1065" t="s">
        <v>397</v>
      </c>
      <c r="I6" s="3705" t="s">
        <v>693</v>
      </c>
      <c r="J6" s="301" t="e">
        <f ca="1">ROUND(M6*M8*M7*(1-M9)/10000,0)</f>
        <v>#N/A</v>
      </c>
      <c r="K6" s="155" t="s">
        <v>2103</v>
      </c>
      <c r="L6" s="302" t="s">
        <v>695</v>
      </c>
      <c r="M6" s="303" t="e">
        <f ca="1">INDIRECT("'数据-取费表'!z"&amp;$G$1)</f>
        <v>#N/A</v>
      </c>
    </row>
    <row r="7" spans="1:37" ht="18" customHeight="1">
      <c r="A7" s="1069"/>
      <c r="B7" s="3706"/>
      <c r="C7" s="1071"/>
      <c r="D7" s="307"/>
      <c r="E7" s="3459" t="s">
        <v>696</v>
      </c>
      <c r="F7" s="303" t="e">
        <f ca="1">IF(INDIRECT("'数据-取费表'!ah"&amp;$G$1)="",INDIRECT("'数据-取费表'!k"&amp;$G$1),INDIRECT("'数据-取费表'!ah"&amp;$G$1))</f>
        <v>#N/A</v>
      </c>
      <c r="G7" s="1380"/>
      <c r="H7" s="304"/>
      <c r="I7" s="3706"/>
      <c r="J7" s="306"/>
      <c r="K7" s="307"/>
      <c r="L7" s="302" t="s">
        <v>696</v>
      </c>
      <c r="M7" s="303" t="e">
        <f ca="1">F7</f>
        <v>#N/A</v>
      </c>
    </row>
    <row r="8" spans="1:37" ht="18" customHeight="1">
      <c r="A8" s="304"/>
      <c r="B8" s="3706"/>
      <c r="C8" s="306"/>
      <c r="D8" s="307"/>
      <c r="E8" s="302" t="s">
        <v>697</v>
      </c>
      <c r="F8" s="303" t="e">
        <f ca="1">INDIRECT("'数据-取费表'!ai"&amp;$G$1)</f>
        <v>#N/A</v>
      </c>
      <c r="G8" s="1380"/>
      <c r="H8" s="304"/>
      <c r="I8" s="3706"/>
      <c r="J8" s="306"/>
      <c r="K8" s="307"/>
      <c r="L8" s="302" t="s">
        <v>697</v>
      </c>
      <c r="M8" s="303" t="e">
        <f ca="1">INDIRECT("'数据-取费表'!ai"&amp;$G$1)</f>
        <v>#N/A</v>
      </c>
    </row>
    <row r="9" spans="1:37" ht="18" customHeight="1">
      <c r="A9" s="304"/>
      <c r="B9" s="3707"/>
      <c r="C9" s="306"/>
      <c r="D9" s="307"/>
      <c r="E9" s="302" t="s">
        <v>698</v>
      </c>
      <c r="F9" s="312" t="e">
        <f ca="1">INDIRECT("'数据-取费表'!w"&amp;$G$1)</f>
        <v>#N/A</v>
      </c>
      <c r="G9" s="1380"/>
      <c r="H9" s="304"/>
      <c r="I9" s="3707"/>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2111</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3453" t="s">
        <v>704</v>
      </c>
      <c r="E13" s="3453"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3470" t="s">
        <v>707</v>
      </c>
      <c r="E14" s="3469"/>
      <c r="F14" s="319"/>
      <c r="G14" s="1380"/>
      <c r="H14" s="978" t="s">
        <v>397</v>
      </c>
      <c r="I14" s="302" t="s">
        <v>708</v>
      </c>
      <c r="J14" s="21" t="e">
        <f ca="1">C29</f>
        <v>#N/A</v>
      </c>
      <c r="K14" s="3457"/>
      <c r="L14" s="803"/>
      <c r="M14" s="804"/>
    </row>
    <row r="15" spans="1:37" s="1393" customFormat="1" ht="18" customHeight="1" thickBot="1">
      <c r="A15" s="978" t="s">
        <v>398</v>
      </c>
      <c r="B15" s="302" t="s">
        <v>709</v>
      </c>
      <c r="C15" s="21" t="e">
        <f ca="1">ROUND(C14*F15,0)</f>
        <v>#N/A</v>
      </c>
      <c r="D15" s="3454" t="s">
        <v>710</v>
      </c>
      <c r="E15" s="3454" t="s">
        <v>711</v>
      </c>
      <c r="F15" s="321">
        <f>'数据-取费表'!B33</f>
        <v>0.03</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3474"/>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3470" t="s">
        <v>719</v>
      </c>
      <c r="L17" s="3473"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3473" t="s">
        <v>723</v>
      </c>
      <c r="L18" s="302" t="s">
        <v>711</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3484"/>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2424" t="s">
        <v>728</v>
      </c>
      <c r="E20" s="302" t="s">
        <v>711</v>
      </c>
      <c r="F20" s="322">
        <f>'数据-取费表'!B37</f>
        <v>0.02</v>
      </c>
      <c r="G20" s="1392"/>
      <c r="H20" s="978" t="s">
        <v>679</v>
      </c>
      <c r="I20" s="155" t="s">
        <v>729</v>
      </c>
      <c r="J20" s="22" t="e">
        <f ca="1">ROUND(M20*M21/10000,2)</f>
        <v>#N/A</v>
      </c>
      <c r="K20" s="324" t="s">
        <v>730</v>
      </c>
      <c r="L20" s="302" t="s">
        <v>731</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2424"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484"/>
      <c r="F22" s="23"/>
      <c r="G22" s="1380"/>
      <c r="H22" s="978" t="s">
        <v>401</v>
      </c>
      <c r="I22" s="302" t="s">
        <v>737</v>
      </c>
      <c r="J22" s="21" t="e">
        <f ca="1">ROUND(J14*M22,2)</f>
        <v>#N/A</v>
      </c>
      <c r="K22" s="3473"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1.5</v>
      </c>
      <c r="G23" s="1392"/>
      <c r="H23" s="978" t="s">
        <v>436</v>
      </c>
      <c r="I23" s="302" t="s">
        <v>741</v>
      </c>
      <c r="J23" s="21" t="e">
        <f ca="1">ROUND(J13*M23,2)</f>
        <v>#N/A</v>
      </c>
      <c r="K23" s="3473"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5.0000000000000001E-4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484"/>
      <c r="F25" s="23"/>
      <c r="G25" s="1380"/>
      <c r="H25" s="1075" t="s">
        <v>393</v>
      </c>
      <c r="I25" s="1090" t="s">
        <v>751</v>
      </c>
      <c r="J25" s="310" t="e">
        <f ca="1">J5-J16</f>
        <v>#N/A</v>
      </c>
      <c r="K25" s="1091" t="s">
        <v>752</v>
      </c>
      <c r="L25" s="1092"/>
      <c r="M25" s="1093"/>
    </row>
    <row r="26" spans="1:37">
      <c r="A26" s="978" t="s">
        <v>396</v>
      </c>
      <c r="B26" s="302" t="s">
        <v>753</v>
      </c>
      <c r="C26" s="21" t="e">
        <f ca="1">ROUND((C19+C20)*F26,0)</f>
        <v>#N/A</v>
      </c>
      <c r="D26" s="2424"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2424" t="s">
        <v>760</v>
      </c>
      <c r="E27" s="3454"/>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5.2400000000000002E-2</v>
      </c>
      <c r="D28" s="2424" t="s">
        <v>764</v>
      </c>
      <c r="E28" s="302" t="s">
        <v>711</v>
      </c>
      <c r="F28" s="322">
        <f>'数据-取费表'!B41</f>
        <v>5.5000000000000007E-2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347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3470" t="s">
        <v>719</v>
      </c>
      <c r="E31" s="3473"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3473" t="s">
        <v>723</v>
      </c>
      <c r="E32" s="302" t="s">
        <v>711</v>
      </c>
      <c r="F32" s="331">
        <f>'数据-取费表'!B41</f>
        <v>5.5000000000000007E-2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1.5</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3473"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3473"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752</v>
      </c>
      <c r="E39" s="1092"/>
      <c r="F39" s="1093"/>
      <c r="G39" s="1380"/>
      <c r="H39" s="2696"/>
      <c r="I39" s="1394"/>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3483"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2103</v>
      </c>
      <c r="E49" s="1368" t="s">
        <v>779</v>
      </c>
      <c r="F49" s="1056"/>
      <c r="G49" s="1421"/>
      <c r="H49" s="722"/>
      <c r="I49" s="1417" t="s">
        <v>822</v>
      </c>
      <c r="J49" s="1422">
        <f>'数据-取费表'!N17</f>
        <v>1995</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31</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8" t="s">
        <v>836</v>
      </c>
      <c r="L53" s="3709"/>
      <c r="O53" s="1414" t="s">
        <v>408</v>
      </c>
      <c r="P53" s="1415" t="s">
        <v>837</v>
      </c>
      <c r="Q53" s="1416" t="e">
        <f ca="1">Q47+Q48</f>
        <v>#N/A</v>
      </c>
      <c r="R53" s="1416" t="s">
        <v>409</v>
      </c>
    </row>
    <row r="54" spans="1:18" s="1380" customFormat="1" ht="13.5" thickBot="1">
      <c r="A54" s="1149"/>
      <c r="B54" s="1363" t="s">
        <v>678</v>
      </c>
      <c r="C54" s="955"/>
      <c r="D54" s="1362"/>
      <c r="E54" s="3461"/>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3461"/>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5.5000000000000007E-2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726</v>
      </c>
      <c r="C61" s="21" t="e">
        <f ca="1">IF(项目基本情况!B11="自然人","——",IF(D61="按租金收入计税",ROUND(C49*F61/(1+'数据-取费表'!C42),2),IF(D61="按房产原值计税",ROUND(C57*F61*0.7,2),INDIRECT("'数据-取费表'!Aj"&amp;$G$1))))</f>
        <v>#N/A</v>
      </c>
      <c r="D61" s="1366" t="s">
        <v>3333</v>
      </c>
      <c r="E61" s="946" t="s">
        <v>743</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729</v>
      </c>
      <c r="C62" s="22" t="e">
        <f ca="1">IF(项目基本情况!B11="自然人","——",ROUND(F62*F63/10000,2))</f>
        <v>#N/A</v>
      </c>
      <c r="D62" s="961" t="s">
        <v>730</v>
      </c>
      <c r="E62" s="946" t="s">
        <v>731</v>
      </c>
      <c r="F62" s="325">
        <f t="shared" si="0"/>
        <v>1.5</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737</v>
      </c>
      <c r="C64" s="21" t="e">
        <f ca="1">ROUND(C57*F64,2)</f>
        <v>#N/A</v>
      </c>
      <c r="D64" s="960" t="s">
        <v>790</v>
      </c>
      <c r="E64" s="946" t="s">
        <v>743</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0</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t="e">
        <f>C30</f>
        <v>#DIV/0!</v>
      </c>
      <c r="C2" s="1995" t="s">
        <v>1931</v>
      </c>
      <c r="D2" s="1996" t="s">
        <v>1932</v>
      </c>
      <c r="E2" s="3418" t="s">
        <v>672</v>
      </c>
      <c r="F2" s="1996" t="s">
        <v>1933</v>
      </c>
      <c r="G2" s="1997">
        <f>IF(E2="商业",项目基本情况!B37,IF(E2="办公",项目基本情况!C37,IF(E2="住宅",项目基本情况!D37,IF(E2="工业",项目基本情况!E37,项目基本情况!F37))))</f>
        <v>0</v>
      </c>
      <c r="H2" s="1996" t="s">
        <v>1934</v>
      </c>
      <c r="I2" s="1997">
        <f>IF(E2="商业",项目基本情况!B38,IF(E2="办公",项目基本情况!C38,IF(E2="住宅",项目基本情况!D38,IF(E2="工业",项目基本情况!E38,项目基本情况!F38))))</f>
        <v>0</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0</v>
      </c>
      <c r="T2" s="3357" t="e">
        <f t="shared" ref="T2:T16" si="0">ROUND($C$5*$C$22*$C$23*$C$24*S2*$C$28,0)</f>
        <v>#DIV/0!</v>
      </c>
      <c r="U2" s="1209"/>
      <c r="V2" s="3357" t="e">
        <f>ROUND(T2*U2/10000,0)</f>
        <v>#DIV/0!</v>
      </c>
      <c r="W2" s="1212"/>
      <c r="X2" s="1212"/>
      <c r="Y2" s="1212"/>
      <c r="Z2" s="1212"/>
      <c r="AA2" s="1212"/>
      <c r="AB2" s="1212"/>
      <c r="AC2" s="1213"/>
      <c r="AD2" s="1214"/>
      <c r="AE2" s="1214"/>
      <c r="AF2" s="1214"/>
      <c r="AG2" s="1214"/>
      <c r="AH2" s="1214"/>
      <c r="AI2" s="1214"/>
      <c r="AJ2" s="1215"/>
    </row>
    <row r="3" spans="1:36" ht="15.75">
      <c r="A3" s="203" t="s">
        <v>1936</v>
      </c>
      <c r="B3" s="204" t="e">
        <f>ROUND(B2*10000/D1,0)</f>
        <v>#DIV/0!</v>
      </c>
      <c r="C3" s="1995" t="s">
        <v>1937</v>
      </c>
      <c r="D3" s="1996" t="s">
        <v>1938</v>
      </c>
      <c r="E3" s="3416" t="s">
        <v>2438</v>
      </c>
      <c r="F3" s="2000" t="s">
        <v>3451</v>
      </c>
      <c r="G3" s="748">
        <f>IF(F3="宗地容积率",'数据-汇总表'!I4,IF(F3="估价对象容积率",'数据-汇总表'!I6,'数据-汇总表'!I7))</f>
        <v>1</v>
      </c>
      <c r="H3" s="170" t="s">
        <v>1939</v>
      </c>
      <c r="I3" s="771">
        <v>1</v>
      </c>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0</v>
      </c>
      <c r="T3" s="3357" t="e">
        <f t="shared" si="0"/>
        <v>#DIV/0!</v>
      </c>
      <c r="U3" s="1209"/>
      <c r="V3" s="3357" t="e">
        <f t="shared" ref="V3:V16" si="1">ROUND(T3*U3/10000,0)</f>
        <v>#DIV/0!</v>
      </c>
      <c r="W3" s="1212"/>
      <c r="X3" s="1212"/>
      <c r="Y3" s="1212"/>
      <c r="Z3" s="1212"/>
      <c r="AA3" s="1212"/>
      <c r="AB3" s="1212"/>
      <c r="AC3" s="1213"/>
      <c r="AD3" s="1214"/>
      <c r="AE3" s="1214"/>
      <c r="AF3" s="1214"/>
      <c r="AG3" s="1214"/>
      <c r="AH3" s="1214"/>
      <c r="AI3" s="1214"/>
      <c r="AJ3" s="1215"/>
    </row>
    <row r="4" spans="1:36" ht="15.75">
      <c r="A4" s="3802"/>
      <c r="B4" s="3803"/>
      <c r="C4" s="3803"/>
      <c r="D4" s="3804"/>
      <c r="E4" s="3804"/>
      <c r="F4" s="3804"/>
      <c r="G4" s="3804"/>
      <c r="H4" s="3804"/>
      <c r="I4" s="3804"/>
      <c r="J4" s="3805"/>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v>
      </c>
      <c r="T4" s="3357" t="e">
        <f t="shared" si="0"/>
        <v>#DIV/0!</v>
      </c>
      <c r="U4" s="1209"/>
      <c r="V4" s="3357" t="e">
        <f t="shared" si="1"/>
        <v>#DIV/0!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0</v>
      </c>
      <c r="D5" s="1335">
        <f>ROUND(C6*C17+C20,0)</f>
        <v>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v>
      </c>
      <c r="T5" s="3357" t="e">
        <f t="shared" si="0"/>
        <v>#DIV/0!</v>
      </c>
      <c r="U5" s="1209"/>
      <c r="V5" s="3357" t="e">
        <f t="shared" si="1"/>
        <v>#DIV/0!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v>
      </c>
      <c r="T6" s="3357" t="e">
        <f t="shared" si="0"/>
        <v>#DIV/0!</v>
      </c>
      <c r="U6" s="1209"/>
      <c r="V6" s="3357" t="e">
        <f t="shared" si="1"/>
        <v>#DIV/0!</v>
      </c>
      <c r="W6" s="1212"/>
      <c r="X6" s="1212"/>
      <c r="Y6" s="1212"/>
      <c r="Z6" s="1212"/>
      <c r="AA6" s="1212"/>
      <c r="AB6" s="1212"/>
      <c r="AC6" s="2007"/>
      <c r="AD6" s="2008"/>
      <c r="AE6" s="2008"/>
      <c r="AF6" s="2008"/>
      <c r="AG6" s="2008"/>
      <c r="AH6" s="2008"/>
      <c r="AI6" s="2008"/>
      <c r="AJ6" s="2009"/>
    </row>
    <row r="7" spans="1:36" ht="24.75" thickBot="1">
      <c r="A7" s="3300" t="s">
        <v>3236</v>
      </c>
      <c r="B7" s="3468"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t="e">
        <f t="shared" si="0"/>
        <v>#DIV/0!</v>
      </c>
      <c r="U7" s="1209"/>
      <c r="V7" s="3357" t="e">
        <f t="shared" si="1"/>
        <v>#DIV/0!</v>
      </c>
      <c r="W7" s="3479" t="s">
        <v>1951</v>
      </c>
      <c r="X7" s="1210">
        <f>G2</f>
        <v>0</v>
      </c>
      <c r="Y7" s="1210" t="s">
        <v>1952</v>
      </c>
      <c r="Z7" s="1211">
        <f>G3</f>
        <v>1</v>
      </c>
      <c r="AA7" s="1212"/>
      <c r="AB7" s="1212"/>
      <c r="AC7" s="1213"/>
      <c r="AD7" s="1214"/>
      <c r="AE7" s="1214"/>
      <c r="AF7" s="1214"/>
      <c r="AG7" s="1214"/>
      <c r="AH7" s="1214"/>
      <c r="AI7" s="1214"/>
      <c r="AJ7" s="1215"/>
    </row>
    <row r="8" spans="1:36" ht="25.5">
      <c r="A8" s="3295"/>
      <c r="B8" s="170" t="s">
        <v>1953</v>
      </c>
      <c r="C8" s="2022" t="s">
        <v>3436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t="e">
        <f t="shared" si="0"/>
        <v>#DIV/0!</v>
      </c>
      <c r="U8" s="1209"/>
      <c r="V8" s="3357" t="e">
        <f t="shared" si="1"/>
        <v>#DIV/0!</v>
      </c>
      <c r="W8" s="3799" t="s">
        <v>1956</v>
      </c>
      <c r="X8" s="3800"/>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t="e">
        <f t="shared" si="0"/>
        <v>#DIV/0!</v>
      </c>
      <c r="U9" s="1209"/>
      <c r="V9" s="3357" t="e">
        <f t="shared" si="1"/>
        <v>#DIV/0!</v>
      </c>
      <c r="W9" s="3801"/>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t="e">
        <f t="shared" si="0"/>
        <v>#DIV/0!</v>
      </c>
      <c r="U10" s="1209"/>
      <c r="V10" s="3357" t="e">
        <f t="shared" si="1"/>
        <v>#DIV/0!</v>
      </c>
      <c r="W10" s="380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t="e">
        <f t="shared" si="0"/>
        <v>#DIV/0!</v>
      </c>
      <c r="U11" s="1209"/>
      <c r="V11" s="3357" t="e">
        <f t="shared" si="1"/>
        <v>#DIV/0!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t="e">
        <f t="shared" si="0"/>
        <v>#DIV/0!</v>
      </c>
      <c r="U12" s="1209"/>
      <c r="V12" s="3357" t="e">
        <f t="shared" si="1"/>
        <v>#DIV/0!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t="e">
        <f t="shared" si="0"/>
        <v>#DIV/0!</v>
      </c>
      <c r="U13" s="1209"/>
      <c r="V13" s="3357" t="e">
        <f t="shared" si="1"/>
        <v>#DIV/0!</v>
      </c>
      <c r="W13" s="1212"/>
      <c r="X13" s="1212"/>
      <c r="Y13" s="1212"/>
      <c r="Z13" s="1212"/>
      <c r="AA13" s="1212"/>
      <c r="AB13" s="1212"/>
      <c r="AC13" s="1213"/>
      <c r="AD13" s="2785"/>
      <c r="AE13" s="2785"/>
      <c r="AF13" s="2785"/>
      <c r="AG13" s="2785"/>
      <c r="AH13" s="2785"/>
      <c r="AI13" s="2785"/>
      <c r="AJ13" s="2786"/>
    </row>
    <row r="14" spans="1:36" ht="15">
      <c r="A14" s="3294"/>
      <c r="B14" s="3463"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t="e">
        <f t="shared" si="0"/>
        <v>#DIV/0!</v>
      </c>
      <c r="U14" s="1209"/>
      <c r="V14" s="3357" t="e">
        <f t="shared" si="1"/>
        <v>#DIV/0!</v>
      </c>
      <c r="W14" s="1212"/>
      <c r="X14" s="1212"/>
      <c r="Y14" s="1212"/>
      <c r="Z14" s="1212"/>
      <c r="AA14" s="1212"/>
      <c r="AB14" s="1212"/>
      <c r="AC14" s="1213"/>
      <c r="AD14" s="2785"/>
      <c r="AE14" s="2785"/>
      <c r="AF14" s="2785"/>
      <c r="AG14" s="2785"/>
      <c r="AH14" s="2785"/>
      <c r="AI14" s="2785"/>
      <c r="AJ14" s="2786"/>
    </row>
    <row r="15" spans="1:36" ht="15">
      <c r="A15" s="3294"/>
      <c r="B15" s="3464"/>
      <c r="C15" s="2039"/>
      <c r="D15" s="2040"/>
      <c r="E15" s="2041"/>
      <c r="F15" s="3309" t="s">
        <v>3243</v>
      </c>
      <c r="G15" s="3310"/>
      <c r="H15" s="3311"/>
      <c r="I15" s="3312"/>
      <c r="J15" s="3313"/>
      <c r="K15" s="1115"/>
      <c r="L15" s="1115"/>
      <c r="M15" s="1115"/>
      <c r="N15" s="1115"/>
      <c r="O15" s="1115"/>
      <c r="P15" s="1115"/>
      <c r="Q15" s="1115"/>
      <c r="R15" s="1208">
        <v>14</v>
      </c>
      <c r="S15" s="1209"/>
      <c r="T15" s="3357" t="e">
        <f t="shared" si="0"/>
        <v>#DIV/0!</v>
      </c>
      <c r="U15" s="1209"/>
      <c r="V15" s="3357" t="e">
        <f t="shared" si="1"/>
        <v>#DIV/0!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t="e">
        <f t="shared" si="0"/>
        <v>#DIV/0!</v>
      </c>
      <c r="U16" s="1209"/>
      <c r="V16" s="3357" t="e">
        <f t="shared" si="1"/>
        <v>#DIV/0!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62"/>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6" t="s">
        <v>3253</v>
      </c>
      <c r="B20" s="167" t="s">
        <v>1990</v>
      </c>
      <c r="C20" s="3321">
        <f>ROUND(IF(F21="与级别开发程度一致",0,(G21-E21)/C21),0)</f>
        <v>0</v>
      </c>
      <c r="D20" s="3337" t="s">
        <v>1994</v>
      </c>
      <c r="E20" s="3338"/>
      <c r="F20" s="3812" t="s">
        <v>1991</v>
      </c>
      <c r="G20" s="3813"/>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7"/>
      <c r="B21" s="2160" t="s">
        <v>1993</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t="s">
        <v>3452</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0" t="s">
        <v>1998</v>
      </c>
      <c r="E23" s="757">
        <v>44197</v>
      </c>
      <c r="F23" s="2050" t="s">
        <v>1999</v>
      </c>
      <c r="G23" s="758">
        <f>'数据-取费表'!B2</f>
        <v>45467</v>
      </c>
      <c r="H23" s="3339" t="s">
        <v>3254</v>
      </c>
      <c r="I23" s="3340" t="str">
        <f>IF(H23="季度增幅（自定义）",SUMIF(N25:N28,E2,O25:O28),"")</f>
        <v/>
      </c>
      <c r="J23" s="3441" t="s">
        <v>3453</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t="e">
        <f>ROUND(POWER(1+G24,J24-I24)*(POWER(1+G24,I24)-1)/(POWER(1+G24,J24)-1),4)</f>
        <v>#DIV/0!</v>
      </c>
      <c r="D24" s="2056" t="s">
        <v>2003</v>
      </c>
      <c r="E24" s="1331">
        <f>存贷款利率!E24/100</f>
        <v>4.3499999999999997E-2</v>
      </c>
      <c r="F24" s="2056" t="s">
        <v>1995</v>
      </c>
      <c r="G24" s="764">
        <f>SUMIF(M30:Q30,E2,M33:Q33)</f>
        <v>5.5E-2</v>
      </c>
      <c r="H24" s="2056" t="s">
        <v>2004</v>
      </c>
      <c r="I24" s="765" t="e">
        <f>SUMIF('数据-取费表'!C6:C15,E2,'数据-取费表'!F6:F15)/COUNTIF('数据-取费表'!C6:C15,E2)</f>
        <v>#DIV/0!</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477">
        <f>IF(B25="容积率修正",IF(G3&lt;10,D26,J26),C27)</f>
        <v>0</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76">
        <f>IF(E26=G26,F26,IF(G3&lt;10,ROUND(F26+(H26-F26)*(G3-E26)/(G26-E26),4),"——"))</f>
        <v>0</v>
      </c>
      <c r="E26" s="748">
        <f>ROUNDDOWN(G3,1)</f>
        <v>1</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1</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t="e">
        <f>IF(B25="容积率修正",E33+SUM(E37:E42),SUM(V2:V16)+SUM(E37:E42))</f>
        <v>#DIV/0!</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t="e">
        <f>E34+SUM(I37:I42)</f>
        <v>#DIV/0!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t="e">
        <f>ROUND(C5*C22*C23*C24*C25*C28,0)</f>
        <v>#DIV/0!</v>
      </c>
      <c r="D33" s="2094">
        <f>'数据-汇总表'!F20</f>
        <v>0</v>
      </c>
      <c r="E33" s="769" t="e">
        <f>ROUND(C33*D33/10000,0)</f>
        <v>#DIV/0!</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t="e">
        <f>ROUND(IF(E2="工业",C33*M42,IF(B25="楼层修正",SUM(V2:V16)*M41*10000/D34,C33*M41)),0)</f>
        <v>#DIV/0!</v>
      </c>
      <c r="D34" s="2099"/>
      <c r="E34" s="769" t="e">
        <f>ROUND(IF(B25="楼层修正",SUM(V2:V16)*M40,C34*D34/10000),0)</f>
        <v>#DIV/0!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0"/>
      <c r="B37" s="2109" t="s">
        <v>2032</v>
      </c>
      <c r="C37" s="175" t="e">
        <f>ROUND(D5*C22*C23*C24*C28*F37,0)</f>
        <v>#DIV/0!</v>
      </c>
      <c r="D37" s="2094">
        <f>'数据-汇总表'!G20</f>
        <v>0</v>
      </c>
      <c r="E37" s="171" t="e">
        <f>ROUND(C37*D37/10000,0)</f>
        <v>#DIV/0!</v>
      </c>
      <c r="F37" s="171">
        <f>SUMIF(修正!A57:A68,G2,修正!B57:B68)</f>
        <v>0</v>
      </c>
      <c r="G37" s="171" t="e">
        <f>ROUND(IF(E2="工业",C37*$M$42,C37*$M$41),0)</f>
        <v>#DIV/0!</v>
      </c>
      <c r="H37" s="171">
        <f>D37</f>
        <v>0</v>
      </c>
      <c r="I37" s="171" t="e">
        <f>ROUND(G37*H37/10000,0)</f>
        <v>#DIV/0!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1"/>
      <c r="B38" s="2037" t="s">
        <v>2033</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482"/>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1"/>
      <c r="B39" s="2037" t="s">
        <v>3257</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4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0</v>
      </c>
      <c r="D41" s="2094"/>
      <c r="E41" s="171">
        <f t="shared" si="4"/>
        <v>0</v>
      </c>
      <c r="F41" s="175">
        <f>SUMIF(修正!A57:A68,G2,修正!F57:F68)</f>
        <v>0</v>
      </c>
      <c r="G41" s="171">
        <f>ROUND(IF(E2="工业",C41*$M$42,C41*$M$41),0)</f>
        <v>0</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0</v>
      </c>
      <c r="D42" s="2099"/>
      <c r="E42" s="187">
        <f t="shared" si="4"/>
        <v>0</v>
      </c>
      <c r="F42" s="763">
        <f>SUMIF(修正!A57:A68,G2,修正!G57:G68)</f>
        <v>0</v>
      </c>
      <c r="G42" s="187">
        <f>ROUND(IF(E2="工业",C42*$M$42,C42*$M$41),0)</f>
        <v>0</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v>
      </c>
      <c r="D44" s="171" t="s">
        <v>1995</v>
      </c>
      <c r="E44" s="2149">
        <f>G24</f>
        <v>5.5E-2</v>
      </c>
      <c r="F44" s="171" t="s">
        <v>2004</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f t="shared" ref="D50:D58" si="7">SUMIF($J$49:$N$49,C50,J50:N50)</f>
        <v>0</v>
      </c>
      <c r="E50" s="740">
        <f>ROUND(SUM(D50:D58),4)</f>
        <v>0</v>
      </c>
      <c r="F50" s="1810">
        <f>IF(E2="商业",SUMIF(L1:L12,G2,N1:N12),"——")</f>
        <v>0</v>
      </c>
      <c r="G50" s="1059">
        <f t="shared" ref="G50:G58" si="8">H50</f>
        <v>0</v>
      </c>
      <c r="H50" s="1062">
        <f t="shared" ref="H50:H58" si="9">IFERROR(ROUNDDOWN($F$50*I50/2,4),"——")</f>
        <v>0</v>
      </c>
      <c r="I50" s="3363">
        <v>0.3</v>
      </c>
      <c r="J50" s="1060">
        <f t="shared" ref="J50:J58" si="10">K50+$G50</f>
        <v>0</v>
      </c>
      <c r="K50" s="1060">
        <f t="shared" ref="K50:K58" si="11">$L50+$G50</f>
        <v>0</v>
      </c>
      <c r="L50" s="1060">
        <v>0</v>
      </c>
      <c r="M50" s="1060">
        <f t="shared" ref="M50:N58" si="12">L50-$G50</f>
        <v>0</v>
      </c>
      <c r="N50" s="1060">
        <f t="shared" si="12"/>
        <v>0</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0</v>
      </c>
      <c r="E51" s="741"/>
      <c r="F51" s="1810"/>
      <c r="G51" s="1059">
        <f t="shared" si="8"/>
        <v>0</v>
      </c>
      <c r="H51" s="1062">
        <f t="shared" si="9"/>
        <v>0</v>
      </c>
      <c r="I51" s="3363">
        <v>0.22</v>
      </c>
      <c r="J51" s="1060">
        <f t="shared" si="10"/>
        <v>0</v>
      </c>
      <c r="K51" s="1060">
        <f t="shared" si="11"/>
        <v>0</v>
      </c>
      <c r="L51" s="1060">
        <v>0</v>
      </c>
      <c r="M51" s="1060">
        <f t="shared" si="12"/>
        <v>0</v>
      </c>
      <c r="N51" s="1060">
        <f t="shared" si="12"/>
        <v>0</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0</v>
      </c>
      <c r="E52" s="741"/>
      <c r="F52" s="1810"/>
      <c r="G52" s="1059">
        <f t="shared" si="8"/>
        <v>0</v>
      </c>
      <c r="H52" s="1062">
        <f t="shared" si="9"/>
        <v>0</v>
      </c>
      <c r="I52" s="3363">
        <v>0.12</v>
      </c>
      <c r="J52" s="1060">
        <f t="shared" si="10"/>
        <v>0</v>
      </c>
      <c r="K52" s="1060">
        <f t="shared" si="11"/>
        <v>0</v>
      </c>
      <c r="L52" s="1060">
        <v>0</v>
      </c>
      <c r="M52" s="1060">
        <f t="shared" si="12"/>
        <v>0</v>
      </c>
      <c r="N52" s="1060">
        <f t="shared" si="12"/>
        <v>0</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0</v>
      </c>
      <c r="E53" s="741"/>
      <c r="F53" s="1810"/>
      <c r="G53" s="1059">
        <f t="shared" si="8"/>
        <v>0</v>
      </c>
      <c r="H53" s="1062">
        <f t="shared" si="9"/>
        <v>0</v>
      </c>
      <c r="I53" s="3363">
        <v>0.05</v>
      </c>
      <c r="J53" s="1060">
        <f t="shared" si="10"/>
        <v>0</v>
      </c>
      <c r="K53" s="1060">
        <f t="shared" si="11"/>
        <v>0</v>
      </c>
      <c r="L53" s="1060">
        <v>0</v>
      </c>
      <c r="M53" s="1060">
        <f t="shared" si="12"/>
        <v>0</v>
      </c>
      <c r="N53" s="1060">
        <f t="shared" si="12"/>
        <v>0</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0</v>
      </c>
      <c r="E54" s="741"/>
      <c r="F54" s="1810"/>
      <c r="G54" s="1059">
        <f t="shared" si="8"/>
        <v>0</v>
      </c>
      <c r="H54" s="1062">
        <f t="shared" si="9"/>
        <v>0</v>
      </c>
      <c r="I54" s="3363">
        <v>0.08</v>
      </c>
      <c r="J54" s="1060">
        <f t="shared" si="10"/>
        <v>0</v>
      </c>
      <c r="K54" s="1060">
        <f t="shared" si="11"/>
        <v>0</v>
      </c>
      <c r="L54" s="1060">
        <v>0</v>
      </c>
      <c r="M54" s="1060">
        <f t="shared" si="12"/>
        <v>0</v>
      </c>
      <c r="N54" s="1060">
        <f t="shared" si="12"/>
        <v>0</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0</v>
      </c>
      <c r="E55" s="741"/>
      <c r="F55" s="1810"/>
      <c r="G55" s="1059">
        <f t="shared" si="8"/>
        <v>0</v>
      </c>
      <c r="H55" s="1062">
        <f t="shared" si="9"/>
        <v>0</v>
      </c>
      <c r="I55" s="3363">
        <v>0.05</v>
      </c>
      <c r="J55" s="1060">
        <f t="shared" si="10"/>
        <v>0</v>
      </c>
      <c r="K55" s="1060">
        <f t="shared" si="11"/>
        <v>0</v>
      </c>
      <c r="L55" s="1060">
        <v>0</v>
      </c>
      <c r="M55" s="1060">
        <f t="shared" si="12"/>
        <v>0</v>
      </c>
      <c r="N55" s="1060">
        <f t="shared" si="12"/>
        <v>0</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0</v>
      </c>
      <c r="E56" s="741"/>
      <c r="F56" s="1810"/>
      <c r="G56" s="1059">
        <f t="shared" si="8"/>
        <v>0</v>
      </c>
      <c r="H56" s="1062">
        <f t="shared" si="9"/>
        <v>0</v>
      </c>
      <c r="I56" s="3363">
        <v>0.05</v>
      </c>
      <c r="J56" s="1060">
        <f t="shared" si="10"/>
        <v>0</v>
      </c>
      <c r="K56" s="1060">
        <f t="shared" si="11"/>
        <v>0</v>
      </c>
      <c r="L56" s="1060">
        <v>0</v>
      </c>
      <c r="M56" s="1060">
        <f t="shared" si="12"/>
        <v>0</v>
      </c>
      <c r="N56" s="1060">
        <f t="shared" si="12"/>
        <v>0</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0</v>
      </c>
      <c r="E57" s="741"/>
      <c r="F57" s="1810"/>
      <c r="G57" s="1059">
        <f t="shared" si="8"/>
        <v>0</v>
      </c>
      <c r="H57" s="1062">
        <f t="shared" si="9"/>
        <v>0</v>
      </c>
      <c r="I57" s="3363">
        <v>0.08</v>
      </c>
      <c r="J57" s="1060">
        <f t="shared" si="10"/>
        <v>0</v>
      </c>
      <c r="K57" s="1060">
        <f t="shared" si="11"/>
        <v>0</v>
      </c>
      <c r="L57" s="1060">
        <v>0</v>
      </c>
      <c r="M57" s="1060">
        <f t="shared" si="12"/>
        <v>0</v>
      </c>
      <c r="N57" s="1060">
        <f t="shared" si="12"/>
        <v>0</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0</v>
      </c>
      <c r="E58" s="742"/>
      <c r="F58" s="1810"/>
      <c r="G58" s="1059">
        <f t="shared" si="8"/>
        <v>0</v>
      </c>
      <c r="H58" s="1062">
        <f t="shared" si="9"/>
        <v>0</v>
      </c>
      <c r="I58" s="3364">
        <v>0.05</v>
      </c>
      <c r="J58" s="1060">
        <f t="shared" si="10"/>
        <v>0</v>
      </c>
      <c r="K58" s="1060">
        <f t="shared" si="11"/>
        <v>0</v>
      </c>
      <c r="L58" s="1060">
        <v>0</v>
      </c>
      <c r="M58" s="1060">
        <f t="shared" si="12"/>
        <v>0</v>
      </c>
      <c r="N58" s="1060">
        <f t="shared" si="12"/>
        <v>0</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3267</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2040</v>
      </c>
      <c r="B92" s="3362"/>
      <c r="C92" s="3362" t="s">
        <v>2042</v>
      </c>
      <c r="D92" s="3362" t="s">
        <v>2043</v>
      </c>
      <c r="E92" s="3344" t="s">
        <v>2044</v>
      </c>
      <c r="F92" s="3377" t="s">
        <v>3281</v>
      </c>
      <c r="G92" s="3362" t="s">
        <v>1985</v>
      </c>
      <c r="H92" s="3384" t="s">
        <v>3285</v>
      </c>
      <c r="I92" s="3362" t="s">
        <v>2047</v>
      </c>
      <c r="J92" s="3385" t="s">
        <v>1718</v>
      </c>
      <c r="K92" s="3385" t="s">
        <v>1719</v>
      </c>
      <c r="L92" s="3385" t="s">
        <v>1720</v>
      </c>
      <c r="M92" s="3385" t="s">
        <v>1721</v>
      </c>
      <c r="N92" s="3385" t="s">
        <v>1722</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2049</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2050</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2052</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2053</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2055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2056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2057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8" t="s">
        <v>3292</v>
      </c>
      <c r="B103" s="3808"/>
      <c r="C103" s="3808"/>
      <c r="D103" s="3808"/>
      <c r="E103" s="3808"/>
      <c r="F103" s="3808"/>
      <c r="G103" s="3808"/>
      <c r="H103" s="3808"/>
      <c r="I103" s="3808"/>
      <c r="J103" s="3808"/>
      <c r="K103" s="3480"/>
      <c r="L103" s="3480"/>
      <c r="M103" s="3480"/>
      <c r="N103" s="3480"/>
    </row>
    <row r="104" spans="1:14">
      <c r="A104" s="3809" t="s">
        <v>3293</v>
      </c>
      <c r="B104" s="3809" t="s">
        <v>3294</v>
      </c>
      <c r="C104" s="3387" t="s">
        <v>3295</v>
      </c>
      <c r="D104" s="3388"/>
      <c r="E104" s="3388"/>
      <c r="F104" s="3388"/>
      <c r="G104" s="3388"/>
      <c r="H104" s="3388"/>
      <c r="I104" s="3388"/>
      <c r="J104" s="3389"/>
      <c r="K104" s="3390"/>
      <c r="L104" s="3390"/>
      <c r="M104" s="3390"/>
      <c r="N104" s="3390"/>
    </row>
    <row r="105" spans="1:14">
      <c r="A105" s="3809"/>
      <c r="B105" s="3809"/>
      <c r="C105" s="3481" t="s">
        <v>1957</v>
      </c>
      <c r="D105" s="3481" t="s">
        <v>1958</v>
      </c>
      <c r="E105" s="3481" t="s">
        <v>1959</v>
      </c>
      <c r="F105" s="3481" t="s">
        <v>1960</v>
      </c>
      <c r="G105" s="3481" t="s">
        <v>1961</v>
      </c>
      <c r="H105" s="3481" t="s">
        <v>1962</v>
      </c>
      <c r="I105" s="3481" t="s">
        <v>1963</v>
      </c>
      <c r="J105" s="3481" t="s">
        <v>1964</v>
      </c>
      <c r="K105" s="3481" t="s">
        <v>1965</v>
      </c>
      <c r="L105" s="3481" t="s">
        <v>1966</v>
      </c>
      <c r="M105" s="3481" t="s">
        <v>1967</v>
      </c>
      <c r="N105" s="3481" t="s">
        <v>1968</v>
      </c>
    </row>
    <row r="106" spans="1:14">
      <c r="A106" s="3795" t="s">
        <v>3308</v>
      </c>
      <c r="B106" s="3481">
        <v>1</v>
      </c>
      <c r="C106" s="3481">
        <v>1.5206</v>
      </c>
      <c r="D106" s="3481">
        <v>1.5206</v>
      </c>
      <c r="E106" s="3481">
        <v>1.5019</v>
      </c>
      <c r="F106" s="3481">
        <v>1.5019</v>
      </c>
      <c r="G106" s="3481">
        <v>1.5019</v>
      </c>
      <c r="H106" s="3481">
        <v>1.5019</v>
      </c>
      <c r="I106" s="3481">
        <v>1.5019</v>
      </c>
      <c r="J106" s="3481">
        <v>1.5418000000000001</v>
      </c>
      <c r="K106" s="3481">
        <v>1.5418000000000001</v>
      </c>
      <c r="L106" s="3481">
        <v>1.5418000000000001</v>
      </c>
      <c r="M106" s="3481">
        <v>1.5418000000000001</v>
      </c>
      <c r="N106" s="3481">
        <v>1.5418000000000001</v>
      </c>
    </row>
    <row r="107" spans="1:14">
      <c r="A107" s="3796"/>
      <c r="B107" s="3481">
        <v>2</v>
      </c>
      <c r="C107" s="3481">
        <v>1.2072000000000001</v>
      </c>
      <c r="D107" s="3481">
        <v>1.2072000000000001</v>
      </c>
      <c r="E107" s="3481">
        <v>1.1838</v>
      </c>
      <c r="F107" s="3481">
        <v>1.1838</v>
      </c>
      <c r="G107" s="3481">
        <v>1.1838</v>
      </c>
      <c r="H107" s="3481">
        <v>1.1838</v>
      </c>
      <c r="I107" s="3481">
        <v>1.1838</v>
      </c>
      <c r="J107" s="3481">
        <v>1.1883999999999999</v>
      </c>
      <c r="K107" s="3481">
        <v>1.1883999999999999</v>
      </c>
      <c r="L107" s="3481">
        <v>1.1883999999999999</v>
      </c>
      <c r="M107" s="3481">
        <v>1.1883999999999999</v>
      </c>
      <c r="N107" s="3481">
        <v>1.1883999999999999</v>
      </c>
    </row>
    <row r="108" spans="1:14">
      <c r="A108" s="3796"/>
      <c r="B108" s="3481">
        <v>3</v>
      </c>
      <c r="C108" s="3481">
        <v>1.0430999999999999</v>
      </c>
      <c r="D108" s="3481">
        <v>1.0430999999999999</v>
      </c>
      <c r="E108" s="3481">
        <v>1.0004999999999999</v>
      </c>
      <c r="F108" s="3481">
        <v>1.0004999999999999</v>
      </c>
      <c r="G108" s="3481">
        <v>1.0004999999999999</v>
      </c>
      <c r="H108" s="3481">
        <v>1.0004999999999999</v>
      </c>
      <c r="I108" s="3481">
        <v>1.0004999999999999</v>
      </c>
      <c r="J108" s="3481">
        <v>0.96940000000000004</v>
      </c>
      <c r="K108" s="3481">
        <v>0.96940000000000004</v>
      </c>
      <c r="L108" s="3481">
        <v>0.96940000000000004</v>
      </c>
      <c r="M108" s="3481">
        <v>0.96940000000000004</v>
      </c>
      <c r="N108" s="3481">
        <v>0.96940000000000004</v>
      </c>
    </row>
    <row r="109" spans="1:14">
      <c r="A109" s="3796"/>
      <c r="B109" s="3481">
        <v>4</v>
      </c>
      <c r="C109" s="3481">
        <v>0.94389999999999996</v>
      </c>
      <c r="D109" s="3481">
        <v>0.94389999999999996</v>
      </c>
      <c r="E109" s="3481">
        <v>0.88239999999999996</v>
      </c>
      <c r="F109" s="3481">
        <v>0.88239999999999996</v>
      </c>
      <c r="G109" s="3481">
        <v>0.88239999999999996</v>
      </c>
      <c r="H109" s="3481">
        <v>0.88239999999999996</v>
      </c>
      <c r="I109" s="3481">
        <v>0.88239999999999996</v>
      </c>
      <c r="J109" s="3481">
        <v>0.82299999999999995</v>
      </c>
      <c r="K109" s="3481">
        <v>0.82299999999999995</v>
      </c>
      <c r="L109" s="3481">
        <v>0.82299999999999995</v>
      </c>
      <c r="M109" s="3481">
        <v>0.82299999999999995</v>
      </c>
      <c r="N109" s="3481">
        <v>0.82299999999999995</v>
      </c>
    </row>
    <row r="110" spans="1:14">
      <c r="A110" s="3796"/>
      <c r="B110" s="3481">
        <v>5</v>
      </c>
      <c r="C110" s="3481">
        <v>0.89959999999999996</v>
      </c>
      <c r="D110" s="3481">
        <v>0.89959999999999996</v>
      </c>
      <c r="E110" s="3481">
        <v>0.84799999999999998</v>
      </c>
      <c r="F110" s="3481">
        <v>0.84799999999999998</v>
      </c>
      <c r="G110" s="3481">
        <v>0.84799999999999998</v>
      </c>
      <c r="H110" s="3481">
        <v>0.84799999999999998</v>
      </c>
      <c r="I110" s="3481">
        <v>0.84799999999999998</v>
      </c>
      <c r="J110" s="3481">
        <v>0.74980000000000002</v>
      </c>
      <c r="K110" s="3481">
        <v>0.74980000000000002</v>
      </c>
      <c r="L110" s="3481">
        <v>0.74980000000000002</v>
      </c>
      <c r="M110" s="3481">
        <v>0.74980000000000002</v>
      </c>
      <c r="N110" s="3481">
        <v>0.74980000000000002</v>
      </c>
    </row>
    <row r="111" spans="1:14">
      <c r="A111" s="3796"/>
      <c r="B111" s="3481"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7"/>
      <c r="B112" s="348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8" t="s">
        <v>3309</v>
      </c>
      <c r="B113" s="3798"/>
      <c r="C113" s="3798"/>
      <c r="D113" s="3798"/>
      <c r="E113" s="3798"/>
      <c r="F113" s="3798"/>
      <c r="G113" s="3798"/>
      <c r="H113" s="3798"/>
      <c r="I113" s="3798"/>
      <c r="J113" s="3798"/>
      <c r="K113" s="3478"/>
      <c r="L113" s="3478"/>
      <c r="M113" s="3478"/>
      <c r="N113" s="3478"/>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1</v>
      </c>
      <c r="C116" s="3396" t="s">
        <v>3311</v>
      </c>
      <c r="D116" s="3397">
        <f>SUMPRODUCT((A118:A122=F116)*(B117:M117=H116)*B118:M122)</f>
        <v>0</v>
      </c>
      <c r="E116" s="1996" t="s">
        <v>1932</v>
      </c>
      <c r="F116" s="3398" t="str">
        <f>E2</f>
        <v>商业</v>
      </c>
      <c r="G116" s="1996" t="s">
        <v>1933</v>
      </c>
      <c r="H116" s="3398">
        <f>G2</f>
        <v>0</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1986</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7">I118</f>
        <v>0.8306</v>
      </c>
      <c r="K118" s="3384">
        <f t="shared" si="37"/>
        <v>0.8306</v>
      </c>
      <c r="L118" s="3384">
        <f t="shared" si="37"/>
        <v>0.8306</v>
      </c>
      <c r="M118" s="3407">
        <f t="shared" si="37"/>
        <v>0.8306</v>
      </c>
      <c r="N118" s="3394"/>
    </row>
    <row r="119" spans="1:14">
      <c r="A119" s="3406" t="s">
        <v>1987</v>
      </c>
      <c r="B119" s="3384">
        <f>ROUND(0.993-0.0112*B116,4)</f>
        <v>0.98180000000000001</v>
      </c>
      <c r="C119" s="3384">
        <f>B119</f>
        <v>0.98180000000000001</v>
      </c>
      <c r="D119" s="3384">
        <f>ROUND(0.9415-0.0142*B116,4)</f>
        <v>0.92730000000000001</v>
      </c>
      <c r="E119" s="3384">
        <f t="shared" ref="E119:H120" si="38">D119</f>
        <v>0.92730000000000001</v>
      </c>
      <c r="F119" s="3384">
        <f t="shared" si="38"/>
        <v>0.92730000000000001</v>
      </c>
      <c r="G119" s="3384">
        <f t="shared" si="38"/>
        <v>0.92730000000000001</v>
      </c>
      <c r="H119" s="3384">
        <f t="shared" si="38"/>
        <v>0.92730000000000001</v>
      </c>
      <c r="I119" s="3384">
        <f>ROUND(0.838-0.0182*B116,4)</f>
        <v>0.81979999999999997</v>
      </c>
      <c r="J119" s="3384">
        <f t="shared" si="37"/>
        <v>0.81979999999999997</v>
      </c>
      <c r="K119" s="3384">
        <f t="shared" si="37"/>
        <v>0.81979999999999997</v>
      </c>
      <c r="L119" s="3384">
        <f t="shared" si="37"/>
        <v>0.81979999999999997</v>
      </c>
      <c r="M119" s="3407">
        <f t="shared" si="37"/>
        <v>0.81979999999999997</v>
      </c>
      <c r="N119" s="3394"/>
    </row>
    <row r="120" spans="1:14">
      <c r="A120" s="3406" t="s">
        <v>1988</v>
      </c>
      <c r="B120" s="3384">
        <f>ROUND(0.9448-0.0115*B116,4)</f>
        <v>0.93330000000000002</v>
      </c>
      <c r="C120" s="3384">
        <f>B120</f>
        <v>0.93330000000000002</v>
      </c>
      <c r="D120" s="3384">
        <f>ROUND(0.937-0.0145*B116,4)</f>
        <v>0.92249999999999999</v>
      </c>
      <c r="E120" s="3384">
        <f t="shared" si="38"/>
        <v>0.92249999999999999</v>
      </c>
      <c r="F120" s="3384">
        <f t="shared" si="38"/>
        <v>0.92249999999999999</v>
      </c>
      <c r="G120" s="3384">
        <f t="shared" si="38"/>
        <v>0.92249999999999999</v>
      </c>
      <c r="H120" s="3384">
        <f t="shared" si="38"/>
        <v>0.92249999999999999</v>
      </c>
      <c r="I120" s="3384">
        <f>ROUND(0.7965-0.0185*B116,4)</f>
        <v>0.77800000000000002</v>
      </c>
      <c r="J120" s="3384">
        <f t="shared" si="37"/>
        <v>0.77800000000000002</v>
      </c>
      <c r="K120" s="3384">
        <f t="shared" si="37"/>
        <v>0.77800000000000002</v>
      </c>
      <c r="L120" s="3384">
        <f t="shared" si="37"/>
        <v>0.77800000000000002</v>
      </c>
      <c r="M120" s="3407">
        <f t="shared" si="37"/>
        <v>0.77800000000000002</v>
      </c>
      <c r="N120" s="3394"/>
    </row>
    <row r="121" spans="1:14" ht="13.5" thickBot="1">
      <c r="A121" s="3408" t="s">
        <v>1989</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7"/>
        <v>0.57150000000000001</v>
      </c>
      <c r="K121" s="3409">
        <f t="shared" si="37"/>
        <v>0.57150000000000001</v>
      </c>
      <c r="L121" s="3409">
        <f t="shared" si="37"/>
        <v>0.57150000000000001</v>
      </c>
      <c r="M121" s="3410">
        <f t="shared" si="37"/>
        <v>0.57150000000000001</v>
      </c>
      <c r="N121" s="3394"/>
    </row>
    <row r="122" spans="1:14">
      <c r="A122" s="3411" t="s">
        <v>2611</v>
      </c>
      <c r="B122" s="3384">
        <f>ROUND(0.9404-0.0106*B116,4)</f>
        <v>0.92979999999999996</v>
      </c>
      <c r="C122" s="3384">
        <f>B122</f>
        <v>0.92979999999999996</v>
      </c>
      <c r="D122" s="3384">
        <f>ROUND(0.8955-0.0135*B116,4)</f>
        <v>0.88200000000000001</v>
      </c>
      <c r="E122" s="3384">
        <f t="shared" ref="E122:H122" si="39">D122</f>
        <v>0.88200000000000001</v>
      </c>
      <c r="F122" s="3384">
        <f t="shared" si="39"/>
        <v>0.88200000000000001</v>
      </c>
      <c r="G122" s="3384">
        <f t="shared" si="39"/>
        <v>0.88200000000000001</v>
      </c>
      <c r="H122" s="3384">
        <f t="shared" si="39"/>
        <v>0.88200000000000001</v>
      </c>
      <c r="I122" s="3384">
        <f>ROUND(0.7632-0.0166*B116,4)</f>
        <v>0.74660000000000004</v>
      </c>
      <c r="J122" s="3384">
        <f t="shared" si="37"/>
        <v>0.74660000000000004</v>
      </c>
      <c r="K122" s="3384">
        <f t="shared" si="37"/>
        <v>0.74660000000000004</v>
      </c>
      <c r="L122" s="3384">
        <f t="shared" si="37"/>
        <v>0.74660000000000004</v>
      </c>
      <c r="M122" s="3407">
        <f t="shared" si="37"/>
        <v>0.74660000000000004</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2:C8"/>
  <sheetViews>
    <sheetView workbookViewId="0">
      <selection activeCell="D2" sqref="D2"/>
    </sheetView>
  </sheetViews>
  <sheetFormatPr defaultRowHeight="13.5"/>
  <sheetData>
    <row r="2" spans="1:3">
      <c r="A2">
        <v>1</v>
      </c>
      <c r="B2">
        <v>3636.6</v>
      </c>
    </row>
    <row r="3" spans="1:3">
      <c r="A3">
        <v>2</v>
      </c>
      <c r="B3">
        <v>275.39999999999998</v>
      </c>
    </row>
    <row r="4" spans="1:3">
      <c r="A4">
        <v>3</v>
      </c>
      <c r="B4">
        <v>706</v>
      </c>
    </row>
    <row r="5" spans="1:3">
      <c r="A5">
        <v>4</v>
      </c>
      <c r="B5">
        <v>3677.4</v>
      </c>
    </row>
    <row r="6" spans="1:3">
      <c r="A6">
        <v>5</v>
      </c>
      <c r="B6">
        <v>3288</v>
      </c>
    </row>
    <row r="7" spans="1:3">
      <c r="A7">
        <v>6</v>
      </c>
      <c r="B7">
        <v>5170.24</v>
      </c>
    </row>
    <row r="8" spans="1:3">
      <c r="A8">
        <v>7</v>
      </c>
      <c r="B8">
        <v>3229.35</v>
      </c>
      <c r="C8">
        <v>245.25</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35" t="str">
        <f>IF(项目基本情况!B9="房地产市场价值","估价结果一览表","结果表-2")</f>
        <v>结果表-2</v>
      </c>
      <c r="B1" s="3535"/>
      <c r="C1" s="3535"/>
      <c r="D1" s="3535"/>
      <c r="E1" s="3535"/>
      <c r="F1" s="3535"/>
      <c r="G1" s="3535"/>
      <c r="H1" s="3535"/>
      <c r="I1" s="3535"/>
    </row>
    <row r="2" spans="1:9" ht="30" customHeight="1" thickTop="1">
      <c r="A2" s="3536" t="s">
        <v>927</v>
      </c>
      <c r="B2" s="3536" t="s">
        <v>928</v>
      </c>
      <c r="C2" s="3536" t="s">
        <v>929</v>
      </c>
      <c r="D2" s="3536" t="str">
        <f>结果表!D116</f>
        <v>出让国有建设用地使用权价值</v>
      </c>
      <c r="E2" s="3536"/>
      <c r="F2" s="3536" t="str">
        <f>结果表!F116</f>
        <v>在建建筑物价值</v>
      </c>
      <c r="G2" s="3536"/>
      <c r="H2" s="3536" t="str">
        <f>IF(项目基本情况!B9="房地产市场价值","房地产市场价值","房地产价值")</f>
        <v>房地产价值</v>
      </c>
      <c r="I2" s="3536"/>
    </row>
    <row r="3" spans="1:9" ht="15">
      <c r="A3" s="3531"/>
      <c r="B3" s="3531"/>
      <c r="C3" s="3531"/>
      <c r="D3" s="850" t="s">
        <v>924</v>
      </c>
      <c r="E3" s="850" t="s">
        <v>930</v>
      </c>
      <c r="F3" s="850" t="s">
        <v>924</v>
      </c>
      <c r="G3" s="850" t="s">
        <v>925</v>
      </c>
      <c r="H3" s="850" t="s">
        <v>924</v>
      </c>
      <c r="I3" s="850" t="s">
        <v>925</v>
      </c>
    </row>
    <row r="4" spans="1:9" ht="15">
      <c r="A4" s="1501" t="str">
        <f>项目基本情况!S2</f>
        <v>北京市房地产</v>
      </c>
      <c r="B4" s="850">
        <f>项目基本情况!C17</f>
        <v>20228.239999999998</v>
      </c>
      <c r="C4" s="850">
        <f>项目基本情况!C18</f>
        <v>73586.240000000005</v>
      </c>
      <c r="D4" s="850">
        <f ca="1">结果表!D118</f>
        <v>10814</v>
      </c>
      <c r="E4" s="850">
        <f ca="1">结果表!E118</f>
        <v>5346</v>
      </c>
      <c r="F4" s="850">
        <f ca="1">结果表!F118</f>
        <v>5546</v>
      </c>
      <c r="G4" s="850">
        <f ca="1">结果表!G118</f>
        <v>2742</v>
      </c>
      <c r="H4" s="850">
        <f ca="1">结果表!H118</f>
        <v>16360</v>
      </c>
      <c r="I4" s="850">
        <f ca="1">结果表!I118</f>
        <v>8088</v>
      </c>
    </row>
    <row r="5" spans="1:9" ht="30" customHeight="1">
      <c r="A5" s="3531" t="s">
        <v>926</v>
      </c>
      <c r="B5" s="3531"/>
      <c r="C5" s="3531"/>
      <c r="D5" s="3531" t="str">
        <f ca="1">结果表!D119</f>
        <v>壹亿零捌佰壹拾肆万元整</v>
      </c>
      <c r="E5" s="3531"/>
      <c r="F5" s="3531" t="str">
        <f ca="1">结果表!F119</f>
        <v>伍仟伍佰肆拾陆万元整</v>
      </c>
      <c r="G5" s="3531"/>
      <c r="H5" s="3531" t="str">
        <f ca="1">结果表!H119</f>
        <v>壹亿陆仟叁佰陆拾万元整</v>
      </c>
      <c r="I5" s="3531"/>
    </row>
    <row r="6" spans="1:9" ht="15.75">
      <c r="A6" s="3530" t="str">
        <f>结果表!A120</f>
        <v>估价师知悉的法定优先受偿款</v>
      </c>
      <c r="B6" s="3530"/>
      <c r="C6" s="3530"/>
      <c r="D6" s="3530">
        <f>结果表!D120</f>
        <v>0</v>
      </c>
      <c r="E6" s="3530"/>
      <c r="F6" s="3530"/>
      <c r="G6" s="3530"/>
      <c r="H6" s="3530"/>
      <c r="I6" s="3530"/>
    </row>
    <row r="7" spans="1:9" ht="15">
      <c r="A7" s="3531" t="s">
        <v>926</v>
      </c>
      <c r="B7" s="3531"/>
      <c r="C7" s="3531"/>
      <c r="D7" s="3532" t="str">
        <f>结果表!D121</f>
        <v>零元整</v>
      </c>
      <c r="E7" s="3533"/>
      <c r="F7" s="3533"/>
      <c r="G7" s="3533"/>
      <c r="H7" s="3533"/>
      <c r="I7" s="3534"/>
    </row>
    <row r="8" spans="1:9" ht="15.75">
      <c r="A8" s="3530" t="str">
        <f>结果表!A122</f>
        <v>房地产抵押价值</v>
      </c>
      <c r="B8" s="3530"/>
      <c r="C8" s="3530"/>
      <c r="D8" s="3530">
        <f ca="1">结果表!D122</f>
        <v>16360</v>
      </c>
      <c r="E8" s="3530"/>
      <c r="F8" s="3530"/>
      <c r="G8" s="3530"/>
      <c r="H8" s="3530"/>
      <c r="I8" s="3530"/>
    </row>
    <row r="9" spans="1:9" ht="15">
      <c r="A9" s="3531" t="s">
        <v>926</v>
      </c>
      <c r="B9" s="3531"/>
      <c r="C9" s="3531"/>
      <c r="D9" s="3531" t="str">
        <f ca="1">结果表!D123</f>
        <v>壹亿陆仟叁佰陆拾万元整</v>
      </c>
      <c r="E9" s="3531"/>
      <c r="F9" s="3531"/>
      <c r="G9" s="3531"/>
      <c r="H9" s="3531"/>
      <c r="I9" s="3531"/>
    </row>
    <row r="10" spans="1:9" ht="15.75">
      <c r="A10" s="3530" t="str">
        <f>结果表!A124</f>
        <v/>
      </c>
      <c r="B10" s="3530"/>
      <c r="C10" s="3530"/>
      <c r="D10" s="3530" t="str">
        <f>结果表!D124</f>
        <v>——</v>
      </c>
      <c r="E10" s="3530"/>
      <c r="F10" s="3530"/>
      <c r="G10" s="3530"/>
      <c r="H10" s="3530"/>
      <c r="I10" s="3530"/>
    </row>
    <row r="11" spans="1:9" ht="15">
      <c r="A11" s="3531" t="s">
        <v>926</v>
      </c>
      <c r="B11" s="3531"/>
      <c r="C11" s="3531"/>
      <c r="D11" s="3531" t="e">
        <f>结果表!D125</f>
        <v>#VALUE!</v>
      </c>
      <c r="E11" s="3531"/>
      <c r="F11" s="3531"/>
      <c r="G11" s="3531"/>
      <c r="H11" s="3531"/>
      <c r="I11" s="3531"/>
    </row>
    <row r="12" spans="1:9" ht="15.75">
      <c r="A12" s="3530" t="str">
        <f>结果表!A126</f>
        <v>抵押净值</v>
      </c>
      <c r="B12" s="3530"/>
      <c r="C12" s="3530"/>
      <c r="D12" s="3530">
        <f ca="1">结果表!D126</f>
        <v>15495</v>
      </c>
      <c r="E12" s="3530"/>
      <c r="F12" s="3530"/>
      <c r="G12" s="3530"/>
      <c r="H12" s="3530"/>
      <c r="I12" s="3530"/>
    </row>
    <row r="13" spans="1:9" ht="15.75" thickBot="1">
      <c r="A13" s="3528" t="s">
        <v>926</v>
      </c>
      <c r="B13" s="3528"/>
      <c r="C13" s="3528"/>
      <c r="D13" s="3528" t="str">
        <f ca="1">结果表!D127</f>
        <v>壹亿伍仟肆佰玖拾伍万元整</v>
      </c>
      <c r="E13" s="3528"/>
      <c r="F13" s="3528"/>
      <c r="G13" s="3528"/>
      <c r="H13" s="3528"/>
      <c r="I13" s="3528"/>
    </row>
    <row r="14" spans="1:9" ht="15" thickTop="1">
      <c r="A14" s="3529" t="s">
        <v>931</v>
      </c>
      <c r="B14" s="3529"/>
      <c r="C14" s="3529"/>
      <c r="D14" s="3529"/>
      <c r="E14" s="3529"/>
      <c r="F14" s="3529"/>
      <c r="G14" s="3529"/>
      <c r="H14" s="3529"/>
      <c r="I14" s="3529"/>
    </row>
    <row r="16" spans="1:9" ht="18.75">
      <c r="A16" s="1502" t="s">
        <v>914</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2" t="s">
        <v>2838</v>
      </c>
      <c r="B1" s="3842"/>
      <c r="C1" s="3842"/>
      <c r="D1" s="3842"/>
      <c r="E1" s="3842"/>
      <c r="F1" s="3842"/>
      <c r="G1" s="3843"/>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40"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41"/>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4" t="s">
        <v>3180</v>
      </c>
      <c r="B1" s="3844"/>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45" t="s">
        <v>3231</v>
      </c>
      <c r="B1" s="3845"/>
      <c r="C1" s="3845"/>
      <c r="D1" s="3845"/>
      <c r="E1" s="3845"/>
      <c r="F1" s="3846"/>
    </row>
    <row r="2" spans="1:6">
      <c r="A2" s="3287" t="s">
        <v>3232</v>
      </c>
      <c r="B2" s="3288"/>
      <c r="C2" s="3288"/>
      <c r="D2" s="3288"/>
      <c r="E2" s="3288"/>
      <c r="F2" s="3288"/>
    </row>
    <row r="3" spans="1:6">
      <c r="A3" s="3287" t="s">
        <v>3233</v>
      </c>
      <c r="B3" s="3288"/>
      <c r="C3" s="3288"/>
      <c r="D3" s="3288"/>
      <c r="E3" s="3288"/>
      <c r="F3" s="3289" t="s">
        <v>3234</v>
      </c>
    </row>
    <row r="4" spans="1:6">
      <c r="A4" s="3290" t="s">
        <v>671</v>
      </c>
      <c r="B4" s="3290" t="s">
        <v>672</v>
      </c>
      <c r="C4" s="3290" t="s">
        <v>21</v>
      </c>
      <c r="D4" s="3290" t="s">
        <v>673</v>
      </c>
      <c r="E4" s="3290" t="s">
        <v>3</v>
      </c>
      <c r="F4" s="3290" t="s">
        <v>3235</v>
      </c>
    </row>
    <row r="5" spans="1:6">
      <c r="A5" s="3291" t="s">
        <v>674</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368</v>
      </c>
      <c r="B16" s="3293">
        <v>2230</v>
      </c>
      <c r="C16" s="3293">
        <v>2200</v>
      </c>
      <c r="D16" s="3293">
        <v>2180</v>
      </c>
      <c r="E16" s="3293">
        <v>570</v>
      </c>
      <c r="F16" s="3293">
        <v>1330</v>
      </c>
    </row>
    <row r="17" spans="1:6">
      <c r="A17" s="3291" t="s">
        <v>369</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45467</v>
      </c>
      <c r="B1" s="3206" t="s">
        <v>3368</v>
      </c>
      <c r="C1" s="3207"/>
      <c r="D1" s="3207"/>
      <c r="E1" s="3207"/>
      <c r="F1" s="3207"/>
      <c r="G1" s="3207"/>
      <c r="H1" s="3207"/>
      <c r="I1" s="3207"/>
      <c r="J1" s="3161"/>
      <c r="K1" s="3207" t="s">
        <v>453</v>
      </c>
      <c r="L1" s="3207"/>
      <c r="M1" s="3207"/>
      <c r="N1" s="3207"/>
      <c r="O1" s="3207"/>
      <c r="P1" s="3207"/>
      <c r="Q1" s="3161"/>
      <c r="R1" s="3847" t="s">
        <v>455</v>
      </c>
      <c r="S1" s="3848"/>
      <c r="T1" s="3848"/>
      <c r="U1" s="3848"/>
      <c r="V1" s="3848"/>
      <c r="W1" s="3848"/>
      <c r="X1" s="3161"/>
      <c r="Y1" s="3847" t="s">
        <v>456</v>
      </c>
      <c r="Z1" s="3848"/>
      <c r="AA1" s="3848"/>
      <c r="AB1" s="3848"/>
      <c r="AC1" s="3848"/>
      <c r="AD1" s="3848"/>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3371</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3372</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3374</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3375</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3367</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3366</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3365</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3361</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3352</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3" t="s">
        <v>3363</v>
      </c>
    </row>
    <row r="21" spans="1:30" s="3005" customFormat="1">
      <c r="I21" s="3204" t="s">
        <v>2824</v>
      </c>
    </row>
    <row r="22" spans="1:30" s="3005" customFormat="1"/>
    <row r="23" spans="1:30" s="3205" customFormat="1" ht="12.75">
      <c r="B23" s="3206" t="s">
        <v>3369</v>
      </c>
      <c r="C23" s="3207"/>
      <c r="D23" s="3207"/>
      <c r="E23" s="3207"/>
      <c r="F23" s="3207"/>
      <c r="G23" s="3207"/>
      <c r="H23" s="3207"/>
      <c r="I23" s="3207"/>
      <c r="J23" s="3161"/>
      <c r="K23" s="3207" t="s">
        <v>2825</v>
      </c>
      <c r="L23" s="3207"/>
      <c r="M23" s="3207"/>
      <c r="N23" s="3207"/>
      <c r="O23" s="3207"/>
      <c r="P23" s="3207"/>
      <c r="Q23" s="3161"/>
      <c r="R23" s="3847" t="s">
        <v>2826</v>
      </c>
      <c r="S23" s="3848"/>
      <c r="T23" s="3848"/>
      <c r="U23" s="3848"/>
      <c r="V23" s="3848"/>
      <c r="W23" s="3848"/>
      <c r="X23" s="3161"/>
      <c r="Y23" s="3847" t="s">
        <v>2827</v>
      </c>
      <c r="Z23" s="3848"/>
      <c r="AA23" s="3848"/>
      <c r="AB23" s="3848"/>
      <c r="AC23" s="3848"/>
      <c r="AD23" s="3848"/>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3371</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3372</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3376</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3375</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3370</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3366</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3365</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3362</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3352</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3"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4" t="s">
        <v>451</v>
      </c>
      <c r="C1" s="3854"/>
      <c r="D1" s="3854"/>
      <c r="E1" s="3854"/>
      <c r="F1" s="3854"/>
      <c r="G1" s="3853" t="s">
        <v>452</v>
      </c>
      <c r="H1" s="3853"/>
      <c r="I1" s="3853"/>
      <c r="J1" s="3853"/>
      <c r="K1" s="3853"/>
      <c r="L1" s="3853"/>
      <c r="N1" s="3853" t="s">
        <v>453</v>
      </c>
      <c r="O1" s="3853"/>
      <c r="P1" s="3853"/>
      <c r="Q1" s="3853"/>
      <c r="S1" s="3853" t="s">
        <v>454</v>
      </c>
      <c r="T1" s="3853"/>
      <c r="U1" s="3853"/>
      <c r="V1" s="3853"/>
      <c r="X1" s="3852" t="s">
        <v>455</v>
      </c>
      <c r="Y1" s="3853"/>
      <c r="Z1" s="3853"/>
      <c r="AA1" s="3853"/>
      <c r="AB1" s="3853"/>
      <c r="AD1" s="3852" t="s">
        <v>456</v>
      </c>
      <c r="AE1" s="3853"/>
      <c r="AF1" s="3853"/>
      <c r="AG1" s="3853"/>
      <c r="AH1" s="3853"/>
    </row>
    <row r="2" spans="1:34" s="2168" customFormat="1" ht="14.25" thickBot="1">
      <c r="B2" s="2169" t="s">
        <v>457</v>
      </c>
      <c r="C2" s="2169" t="s">
        <v>458</v>
      </c>
      <c r="D2" s="2170" t="s">
        <v>459</v>
      </c>
      <c r="E2" s="2170" t="s">
        <v>460</v>
      </c>
      <c r="F2" s="2169" t="s">
        <v>461</v>
      </c>
      <c r="G2" s="2171"/>
      <c r="I2" s="2169" t="s">
        <v>457</v>
      </c>
      <c r="J2" s="2170" t="s">
        <v>675</v>
      </c>
      <c r="K2" s="2170" t="s">
        <v>308</v>
      </c>
      <c r="L2" s="2169" t="s">
        <v>461</v>
      </c>
      <c r="N2" s="2169" t="s">
        <v>457</v>
      </c>
      <c r="O2" s="2170" t="s">
        <v>675</v>
      </c>
      <c r="P2" s="2170" t="s">
        <v>308</v>
      </c>
      <c r="Q2" s="2169" t="s">
        <v>461</v>
      </c>
      <c r="S2" s="2169" t="s">
        <v>457</v>
      </c>
      <c r="T2" s="2170" t="s">
        <v>675</v>
      </c>
      <c r="U2" s="2170" t="s">
        <v>308</v>
      </c>
      <c r="V2" s="2169" t="s">
        <v>461</v>
      </c>
      <c r="X2" s="2169" t="s">
        <v>457</v>
      </c>
      <c r="Y2" s="2169" t="s">
        <v>458</v>
      </c>
      <c r="Z2" s="2170" t="s">
        <v>459</v>
      </c>
      <c r="AA2" s="2170" t="s">
        <v>460</v>
      </c>
      <c r="AB2" s="2169" t="s">
        <v>461</v>
      </c>
      <c r="AD2" s="2169" t="s">
        <v>457</v>
      </c>
      <c r="AE2" s="2169" t="s">
        <v>458</v>
      </c>
      <c r="AF2" s="2170" t="s">
        <v>459</v>
      </c>
      <c r="AG2" s="2170" t="s">
        <v>460</v>
      </c>
      <c r="AH2" s="2169" t="s">
        <v>461</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5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5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5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5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5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676</v>
      </c>
      <c r="B27" s="2202">
        <f t="shared" si="232"/>
        <v>419.31181600000002</v>
      </c>
      <c r="C27" s="2202">
        <f t="shared" si="233"/>
        <v>313.95436800000004</v>
      </c>
      <c r="D27" s="2202">
        <f t="shared" si="234"/>
        <v>313.95436800000004</v>
      </c>
      <c r="E27" s="2202">
        <f t="shared" si="235"/>
        <v>596.63028431999999</v>
      </c>
      <c r="F27" s="2202">
        <f t="shared" si="236"/>
        <v>274.74220703999998</v>
      </c>
      <c r="G27" s="385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462</v>
      </c>
      <c r="B28" s="2202">
        <f>B29*(1+N28)</f>
        <v>405.524</v>
      </c>
      <c r="C28" s="2202">
        <f>C29*(1+O28)</f>
        <v>307.79840000000002</v>
      </c>
      <c r="D28" s="2202">
        <f>C28</f>
        <v>307.79840000000002</v>
      </c>
      <c r="E28" s="2202">
        <f>E29*(1+P28)</f>
        <v>574.67759999999998</v>
      </c>
      <c r="F28" s="2202">
        <f>F29*(1+Q28)</f>
        <v>270.20280000000002</v>
      </c>
      <c r="G28" s="385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5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5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5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5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5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5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5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5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5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463</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464</v>
      </c>
      <c r="B41" s="2216">
        <v>299</v>
      </c>
      <c r="C41" s="2216">
        <v>252</v>
      </c>
      <c r="D41" s="2216">
        <f t="shared" si="246"/>
        <v>252</v>
      </c>
      <c r="E41" s="2216">
        <v>409</v>
      </c>
      <c r="F41" s="2217">
        <v>227</v>
      </c>
      <c r="G41" s="385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465</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466</v>
      </c>
      <c r="B43" s="2202">
        <f t="shared" si="255"/>
        <v>288.2649053828776</v>
      </c>
      <c r="C43" s="2202">
        <f t="shared" si="255"/>
        <v>243.64564425013293</v>
      </c>
      <c r="D43" s="2202">
        <f t="shared" si="246"/>
        <v>243.64564425013293</v>
      </c>
      <c r="E43" s="2202">
        <f t="shared" si="256"/>
        <v>393.31080825986544</v>
      </c>
      <c r="F43" s="2202">
        <f t="shared" si="256"/>
        <v>223.07903790551154</v>
      </c>
      <c r="G43" s="385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467</v>
      </c>
      <c r="B44" s="2202">
        <f t="shared" si="255"/>
        <v>282.50186729015837</v>
      </c>
      <c r="C44" s="2202">
        <f t="shared" si="255"/>
        <v>238.09796174155468</v>
      </c>
      <c r="D44" s="2202">
        <f t="shared" si="246"/>
        <v>238.09796174155468</v>
      </c>
      <c r="E44" s="2202">
        <f t="shared" si="256"/>
        <v>385.33438646014054</v>
      </c>
      <c r="F44" s="2202">
        <f t="shared" si="256"/>
        <v>221.55034055567739</v>
      </c>
      <c r="G44" s="385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468</v>
      </c>
      <c r="B45" s="2251">
        <v>278</v>
      </c>
      <c r="C45" s="2251">
        <v>234</v>
      </c>
      <c r="D45" s="2251">
        <f t="shared" si="246"/>
        <v>234</v>
      </c>
      <c r="E45" s="2251">
        <v>379</v>
      </c>
      <c r="F45" s="2252">
        <v>220</v>
      </c>
      <c r="G45" s="384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469</v>
      </c>
      <c r="B46" s="2202">
        <f>B45/(1+N45)</f>
        <v>275.49301357645425</v>
      </c>
      <c r="C46" s="2202">
        <f>C45/(1+O45)</f>
        <v>232.41954707985698</v>
      </c>
      <c r="D46" s="2202">
        <f t="shared" si="246"/>
        <v>232.41954707985698</v>
      </c>
      <c r="E46" s="2202">
        <f t="shared" ref="E46:F48" si="257">E45/(1+P45)</f>
        <v>375.32184591008121</v>
      </c>
      <c r="F46" s="2202">
        <f t="shared" si="257"/>
        <v>218.03766105054513</v>
      </c>
      <c r="G46" s="385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470</v>
      </c>
      <c r="B47" s="2202">
        <f>B46/(1+N46)</f>
        <v>275.24529281292263</v>
      </c>
      <c r="C47" s="2202">
        <f>C46/(1+O46)</f>
        <v>231.74747938962707</v>
      </c>
      <c r="D47" s="2202">
        <f t="shared" si="246"/>
        <v>231.74747938962707</v>
      </c>
      <c r="E47" s="2202">
        <f t="shared" si="257"/>
        <v>375.35938184826603</v>
      </c>
      <c r="F47" s="2202">
        <f t="shared" si="257"/>
        <v>216.78033510692495</v>
      </c>
      <c r="G47" s="385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471</v>
      </c>
      <c r="B48" s="2202">
        <f>B47/(1+N47)</f>
        <v>275.19025476197027</v>
      </c>
      <c r="C48" s="2253">
        <v>232</v>
      </c>
      <c r="D48" s="2253">
        <f t="shared" si="246"/>
        <v>232</v>
      </c>
      <c r="E48" s="2202">
        <f t="shared" si="257"/>
        <v>375.65990977608692</v>
      </c>
      <c r="F48" s="2202">
        <f t="shared" si="257"/>
        <v>214.12518283971252</v>
      </c>
      <c r="G48" s="385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472</v>
      </c>
      <c r="B49" s="2216">
        <v>275</v>
      </c>
      <c r="C49" s="2216">
        <v>232</v>
      </c>
      <c r="D49" s="2216">
        <f t="shared" si="246"/>
        <v>232</v>
      </c>
      <c r="E49" s="2216">
        <v>376</v>
      </c>
      <c r="F49" s="2217">
        <v>213</v>
      </c>
      <c r="G49" s="384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473</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5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474</v>
      </c>
      <c r="B51" s="2202">
        <f t="shared" si="258"/>
        <v>275.19335084830601</v>
      </c>
      <c r="C51" s="2202">
        <f t="shared" si="258"/>
        <v>230.18088050139744</v>
      </c>
      <c r="D51" s="2202">
        <f t="shared" si="246"/>
        <v>230.18088050139744</v>
      </c>
      <c r="E51" s="2202">
        <f t="shared" si="259"/>
        <v>377.58482925212331</v>
      </c>
      <c r="F51" s="2202">
        <f t="shared" si="259"/>
        <v>210.90687997847917</v>
      </c>
      <c r="G51" s="385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475</v>
      </c>
      <c r="B52" s="2202">
        <f t="shared" si="258"/>
        <v>276.29854502841971</v>
      </c>
      <c r="C52" s="2202">
        <f t="shared" si="258"/>
        <v>229.79023709833027</v>
      </c>
      <c r="D52" s="2202">
        <f t="shared" si="246"/>
        <v>229.79023709833027</v>
      </c>
      <c r="E52" s="2202">
        <f t="shared" si="259"/>
        <v>379.78759731655936</v>
      </c>
      <c r="F52" s="2202">
        <f t="shared" si="259"/>
        <v>211.32953905659235</v>
      </c>
      <c r="G52" s="385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476</v>
      </c>
      <c r="B53" s="2216">
        <v>269</v>
      </c>
      <c r="C53" s="2216">
        <v>221</v>
      </c>
      <c r="D53" s="2216">
        <f t="shared" si="246"/>
        <v>221</v>
      </c>
      <c r="E53" s="2216">
        <v>373</v>
      </c>
      <c r="F53" s="2217">
        <v>196</v>
      </c>
      <c r="G53" s="384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477</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5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478</v>
      </c>
      <c r="B55" s="2202">
        <f t="shared" si="260"/>
        <v>242.95398227588385</v>
      </c>
      <c r="C55" s="2202">
        <f t="shared" si="260"/>
        <v>199.59137053614126</v>
      </c>
      <c r="D55" s="2202">
        <f t="shared" si="246"/>
        <v>199.59137053614126</v>
      </c>
      <c r="E55" s="2202">
        <f t="shared" si="261"/>
        <v>335.92189522342125</v>
      </c>
      <c r="F55" s="2202">
        <f t="shared" si="261"/>
        <v>183.10139991109489</v>
      </c>
      <c r="G55" s="385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479</v>
      </c>
      <c r="B56" s="2202">
        <f t="shared" si="260"/>
        <v>232.06990378821649</v>
      </c>
      <c r="C56" s="2202">
        <f t="shared" si="260"/>
        <v>192.74878854286936</v>
      </c>
      <c r="D56" s="2202">
        <f t="shared" si="246"/>
        <v>192.74878854286936</v>
      </c>
      <c r="E56" s="2202">
        <f t="shared" si="261"/>
        <v>319.71247284992984</v>
      </c>
      <c r="F56" s="2202">
        <f t="shared" si="261"/>
        <v>175.67053622862409</v>
      </c>
      <c r="G56" s="385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480</v>
      </c>
      <c r="B57" s="2216">
        <v>220</v>
      </c>
      <c r="C57" s="2216">
        <v>187</v>
      </c>
      <c r="D57" s="2216">
        <f t="shared" si="246"/>
        <v>187</v>
      </c>
      <c r="E57" s="2216">
        <v>301</v>
      </c>
      <c r="F57" s="2217">
        <v>168</v>
      </c>
      <c r="G57" s="384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481</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5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482</v>
      </c>
      <c r="B59" s="2202">
        <f t="shared" si="262"/>
        <v>210.630522469011</v>
      </c>
      <c r="C59" s="2202">
        <f t="shared" si="262"/>
        <v>181.69567812247232</v>
      </c>
      <c r="D59" s="2202">
        <f t="shared" si="246"/>
        <v>181.69567812247232</v>
      </c>
      <c r="E59" s="2202">
        <f t="shared" si="263"/>
        <v>286.13517466736738</v>
      </c>
      <c r="F59" s="2202">
        <f t="shared" si="263"/>
        <v>165.47535084591149</v>
      </c>
      <c r="G59" s="385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483</v>
      </c>
      <c r="B60" s="2202">
        <f t="shared" si="262"/>
        <v>208.83454537875372</v>
      </c>
      <c r="C60" s="2202">
        <f t="shared" si="262"/>
        <v>183.77230517090351</v>
      </c>
      <c r="D60" s="2202">
        <f t="shared" si="246"/>
        <v>183.77230517090351</v>
      </c>
      <c r="E60" s="2202">
        <f t="shared" si="263"/>
        <v>281.10342338870947</v>
      </c>
      <c r="F60" s="2202">
        <f t="shared" si="263"/>
        <v>168.97309388942256</v>
      </c>
      <c r="G60" s="385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484</v>
      </c>
      <c r="B61" s="2251">
        <v>214</v>
      </c>
      <c r="C61" s="2251">
        <v>188</v>
      </c>
      <c r="D61" s="2251">
        <f t="shared" si="246"/>
        <v>188</v>
      </c>
      <c r="E61" s="2251">
        <v>289</v>
      </c>
      <c r="F61" s="2252">
        <v>166</v>
      </c>
      <c r="G61" s="384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485</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5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486</v>
      </c>
      <c r="B63" s="2202">
        <f t="shared" si="264"/>
        <v>206.31694671589116</v>
      </c>
      <c r="C63" s="2202">
        <f t="shared" si="264"/>
        <v>183.61041121036101</v>
      </c>
      <c r="D63" s="2202">
        <f t="shared" si="246"/>
        <v>183.61041121036101</v>
      </c>
      <c r="E63" s="2202">
        <f t="shared" si="265"/>
        <v>276.66850301795557</v>
      </c>
      <c r="F63" s="2202">
        <f t="shared" si="265"/>
        <v>165.1360938278614</v>
      </c>
      <c r="G63" s="385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487</v>
      </c>
      <c r="B64" s="2254">
        <f t="shared" si="264"/>
        <v>196.62341248059772</v>
      </c>
      <c r="C64" s="2254">
        <f t="shared" si="264"/>
        <v>170.99125648199012</v>
      </c>
      <c r="D64" s="2254">
        <f t="shared" si="246"/>
        <v>170.99125648199012</v>
      </c>
      <c r="E64" s="2254">
        <f t="shared" si="265"/>
        <v>266.07857570490052</v>
      </c>
      <c r="F64" s="2254">
        <f t="shared" si="265"/>
        <v>154.53499328828505</v>
      </c>
      <c r="G64" s="385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488</v>
      </c>
      <c r="B65" s="2216">
        <v>188</v>
      </c>
      <c r="C65" s="2216">
        <v>165</v>
      </c>
      <c r="D65" s="2216">
        <f t="shared" si="246"/>
        <v>165</v>
      </c>
      <c r="E65" s="2216">
        <v>254</v>
      </c>
      <c r="F65" s="2217">
        <v>148</v>
      </c>
      <c r="G65" s="384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489</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5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490</v>
      </c>
      <c r="B67" s="2202">
        <f t="shared" si="268"/>
        <v>168.82017748715555</v>
      </c>
      <c r="C67" s="2202">
        <f t="shared" si="268"/>
        <v>148.06267029972753</v>
      </c>
      <c r="D67" s="2202">
        <f t="shared" si="246"/>
        <v>148.06267029972753</v>
      </c>
      <c r="E67" s="2202">
        <f t="shared" si="269"/>
        <v>216.46288379323747</v>
      </c>
      <c r="F67" s="2202">
        <f t="shared" si="269"/>
        <v>134.23529411764704</v>
      </c>
      <c r="G67" s="385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491</v>
      </c>
      <c r="B68" s="2202">
        <f t="shared" si="268"/>
        <v>163.84913591779542</v>
      </c>
      <c r="C68" s="2202">
        <f t="shared" si="268"/>
        <v>145.0283378746594</v>
      </c>
      <c r="D68" s="2202">
        <f t="shared" si="246"/>
        <v>145.0283378746594</v>
      </c>
      <c r="E68" s="2202">
        <f t="shared" si="269"/>
        <v>204.95180722891567</v>
      </c>
      <c r="F68" s="2202">
        <f t="shared" si="269"/>
        <v>125.95920303605313</v>
      </c>
      <c r="G68" s="385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492</v>
      </c>
      <c r="B69" s="2230">
        <v>159</v>
      </c>
      <c r="C69" s="2230">
        <v>141</v>
      </c>
      <c r="D69" s="2230">
        <f t="shared" si="246"/>
        <v>141</v>
      </c>
      <c r="E69" s="2230">
        <v>195</v>
      </c>
      <c r="F69" s="2231">
        <v>122</v>
      </c>
      <c r="G69" s="384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493</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5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494</v>
      </c>
      <c r="B71" s="2202">
        <f t="shared" si="272"/>
        <v>146.57412060301507</v>
      </c>
      <c r="C71" s="2202">
        <f t="shared" si="272"/>
        <v>136.46831955922866</v>
      </c>
      <c r="D71" s="2202">
        <f t="shared" si="246"/>
        <v>136.46831955922866</v>
      </c>
      <c r="E71" s="2202">
        <f t="shared" si="273"/>
        <v>166.73864894795128</v>
      </c>
      <c r="F71" s="2202">
        <f t="shared" si="273"/>
        <v>115.05882352941177</v>
      </c>
      <c r="G71" s="385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495</v>
      </c>
      <c r="B72" s="2202">
        <f t="shared" si="272"/>
        <v>144.04145728643215</v>
      </c>
      <c r="C72" s="2202">
        <f t="shared" si="272"/>
        <v>136.12396694214877</v>
      </c>
      <c r="D72" s="2202">
        <f t="shared" si="246"/>
        <v>136.12396694214877</v>
      </c>
      <c r="E72" s="2202">
        <f t="shared" si="273"/>
        <v>158.32225913621264</v>
      </c>
      <c r="F72" s="2202">
        <f t="shared" si="273"/>
        <v>114.04278074866311</v>
      </c>
      <c r="G72" s="385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496</v>
      </c>
      <c r="B73" s="2230">
        <v>138</v>
      </c>
      <c r="C73" s="2230">
        <v>131</v>
      </c>
      <c r="D73" s="2230">
        <f t="shared" si="246"/>
        <v>131</v>
      </c>
      <c r="E73" s="2230">
        <v>155</v>
      </c>
      <c r="F73" s="2231">
        <v>114</v>
      </c>
      <c r="G73" s="384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497</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5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498</v>
      </c>
      <c r="B75" s="2202">
        <f t="shared" si="276"/>
        <v>124.29032258064517</v>
      </c>
      <c r="C75" s="2202">
        <f t="shared" si="276"/>
        <v>123.8968609865471</v>
      </c>
      <c r="D75" s="2202">
        <f t="shared" si="246"/>
        <v>123.8968609865471</v>
      </c>
      <c r="E75" s="2202">
        <f t="shared" si="277"/>
        <v>138.00507614213197</v>
      </c>
      <c r="F75" s="2202">
        <f t="shared" si="277"/>
        <v>107.96106557377048</v>
      </c>
      <c r="G75" s="385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499</v>
      </c>
      <c r="B76" s="2202">
        <f t="shared" si="276"/>
        <v>122.57204301075269</v>
      </c>
      <c r="C76" s="2202">
        <f t="shared" si="276"/>
        <v>123.4932735426009</v>
      </c>
      <c r="D76" s="2202">
        <f t="shared" si="246"/>
        <v>123.4932735426009</v>
      </c>
      <c r="E76" s="2202">
        <f t="shared" si="277"/>
        <v>129.82233502538071</v>
      </c>
      <c r="F76" s="2202">
        <f t="shared" si="277"/>
        <v>107.39446721311475</v>
      </c>
      <c r="G76" s="385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500</v>
      </c>
      <c r="B77" s="2251">
        <v>121</v>
      </c>
      <c r="C77" s="2251">
        <v>122</v>
      </c>
      <c r="D77" s="2251">
        <f t="shared" si="246"/>
        <v>122</v>
      </c>
      <c r="E77" s="2251">
        <v>124</v>
      </c>
      <c r="F77" s="2252">
        <v>107</v>
      </c>
      <c r="G77" s="384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501</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5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502</v>
      </c>
      <c r="B79" s="2202">
        <f t="shared" si="280"/>
        <v>116.99099099099099</v>
      </c>
      <c r="C79" s="2202">
        <f t="shared" si="280"/>
        <v>118.84848484848486</v>
      </c>
      <c r="D79" s="2202">
        <f t="shared" si="246"/>
        <v>118.84848484848486</v>
      </c>
      <c r="E79" s="2202">
        <f t="shared" si="281"/>
        <v>117.60960960960961</v>
      </c>
      <c r="F79" s="2202">
        <f t="shared" si="281"/>
        <v>104</v>
      </c>
      <c r="G79" s="385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503</v>
      </c>
      <c r="B80" s="2254">
        <f t="shared" si="280"/>
        <v>112.48648648648648</v>
      </c>
      <c r="C80" s="2254">
        <f t="shared" si="280"/>
        <v>115.21212121212122</v>
      </c>
      <c r="D80" s="2254">
        <f t="shared" si="246"/>
        <v>115.21212121212122</v>
      </c>
      <c r="E80" s="2254">
        <f t="shared" si="281"/>
        <v>110.4024024024024</v>
      </c>
      <c r="F80" s="2254">
        <f t="shared" si="281"/>
        <v>104</v>
      </c>
      <c r="G80" s="385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504</v>
      </c>
      <c r="B81" s="2271">
        <v>111</v>
      </c>
      <c r="C81" s="2271">
        <v>114</v>
      </c>
      <c r="D81" s="2271">
        <f t="shared" si="246"/>
        <v>114</v>
      </c>
      <c r="E81" s="2271">
        <v>108</v>
      </c>
      <c r="F81" s="2272">
        <v>104</v>
      </c>
      <c r="G81" s="3849">
        <v>2003</v>
      </c>
      <c r="H81" s="2261">
        <v>4</v>
      </c>
      <c r="I81" s="2273"/>
      <c r="J81" s="2273"/>
      <c r="K81" s="2273"/>
      <c r="L81" s="2273"/>
      <c r="N81" s="2274"/>
      <c r="O81" s="2273"/>
      <c r="P81" s="2273"/>
      <c r="Q81" s="2273"/>
      <c r="S81" s="2274"/>
      <c r="T81" s="2273"/>
      <c r="U81" s="2273"/>
      <c r="V81" s="2273"/>
      <c r="X81" s="2265"/>
      <c r="Y81" s="2265"/>
      <c r="Z81" s="2265"/>
    </row>
    <row r="82" spans="1:26">
      <c r="A82" s="2201" t="s">
        <v>505</v>
      </c>
      <c r="B82" s="2275">
        <f t="shared" ref="B82:C84" si="282">B83+(B$81-B$85)/4</f>
        <v>109.75</v>
      </c>
      <c r="C82" s="2275">
        <f t="shared" si="282"/>
        <v>112.25</v>
      </c>
      <c r="D82" s="2275">
        <f t="shared" si="246"/>
        <v>112.25</v>
      </c>
      <c r="E82" s="2275">
        <f t="shared" ref="E82:F84" si="283">E83+(E$81-E$85)/4</f>
        <v>107.25</v>
      </c>
      <c r="F82" s="2275">
        <f t="shared" si="283"/>
        <v>103.5</v>
      </c>
      <c r="G82" s="3850">
        <v>2003</v>
      </c>
      <c r="H82" s="2227">
        <v>3</v>
      </c>
      <c r="I82" s="2273"/>
      <c r="J82" s="2273"/>
      <c r="K82" s="2273"/>
      <c r="L82" s="2273"/>
      <c r="X82" s="2265"/>
      <c r="Y82" s="2265"/>
      <c r="Z82" s="2265"/>
    </row>
    <row r="83" spans="1:26">
      <c r="A83" s="2201" t="s">
        <v>506</v>
      </c>
      <c r="B83" s="2275">
        <f t="shared" si="282"/>
        <v>108.5</v>
      </c>
      <c r="C83" s="2275">
        <f t="shared" si="282"/>
        <v>110.5</v>
      </c>
      <c r="D83" s="2275">
        <f t="shared" si="246"/>
        <v>110.5</v>
      </c>
      <c r="E83" s="2275">
        <f t="shared" si="283"/>
        <v>106.5</v>
      </c>
      <c r="F83" s="2275">
        <f t="shared" si="283"/>
        <v>103</v>
      </c>
      <c r="G83" s="3850">
        <v>2003</v>
      </c>
      <c r="H83" s="2214">
        <v>2</v>
      </c>
      <c r="I83" s="2273"/>
      <c r="J83" s="2273"/>
      <c r="K83" s="2273"/>
      <c r="L83" s="2273"/>
      <c r="X83" s="2265"/>
      <c r="Y83" s="2265"/>
      <c r="Z83" s="2265"/>
    </row>
    <row r="84" spans="1:26" ht="13.5" thickBot="1">
      <c r="A84" s="2201" t="s">
        <v>507</v>
      </c>
      <c r="B84" s="2275">
        <f t="shared" si="282"/>
        <v>107.25</v>
      </c>
      <c r="C84" s="2275">
        <f t="shared" si="282"/>
        <v>108.75</v>
      </c>
      <c r="D84" s="2275">
        <f t="shared" si="246"/>
        <v>108.75</v>
      </c>
      <c r="E84" s="2275">
        <f t="shared" si="283"/>
        <v>105.75</v>
      </c>
      <c r="F84" s="2275">
        <f t="shared" si="283"/>
        <v>102.5</v>
      </c>
      <c r="G84" s="3851">
        <v>2003</v>
      </c>
      <c r="H84" s="2276">
        <v>1</v>
      </c>
      <c r="I84" s="2273"/>
      <c r="J84" s="2273"/>
      <c r="K84" s="2273"/>
      <c r="L84" s="2273"/>
      <c r="S84" s="2204"/>
      <c r="T84" s="2189"/>
      <c r="U84" s="2189"/>
      <c r="X84" s="2265"/>
      <c r="Y84" s="2265"/>
      <c r="Z84" s="2265"/>
    </row>
    <row r="85" spans="1:26" ht="13.5" thickBot="1">
      <c r="A85" s="2201" t="s">
        <v>508</v>
      </c>
      <c r="B85" s="2277">
        <v>106</v>
      </c>
      <c r="C85" s="2277">
        <v>107</v>
      </c>
      <c r="D85" s="2277">
        <f t="shared" si="246"/>
        <v>107</v>
      </c>
      <c r="E85" s="2277">
        <v>105</v>
      </c>
      <c r="F85" s="2278">
        <v>102</v>
      </c>
      <c r="G85" s="3849">
        <v>2002</v>
      </c>
      <c r="H85" s="2222">
        <v>4</v>
      </c>
      <c r="I85" s="2273"/>
      <c r="J85" s="2273"/>
      <c r="K85" s="2273"/>
      <c r="L85" s="2273"/>
      <c r="N85" s="2274"/>
      <c r="O85" s="2273"/>
      <c r="P85" s="2273"/>
      <c r="Q85" s="2273"/>
      <c r="S85" s="2274"/>
      <c r="T85" s="2273"/>
      <c r="U85" s="2273"/>
      <c r="V85" s="2273"/>
      <c r="X85" s="2265"/>
      <c r="Y85" s="2265"/>
      <c r="Z85" s="2265"/>
    </row>
    <row r="86" spans="1:26">
      <c r="A86" s="2201" t="s">
        <v>509</v>
      </c>
      <c r="B86" s="2275">
        <f t="shared" ref="B86:C88" si="284">B87+(B$85-B$89)/4</f>
        <v>105</v>
      </c>
      <c r="C86" s="2275">
        <f t="shared" si="284"/>
        <v>106</v>
      </c>
      <c r="D86" s="2275">
        <f t="shared" si="246"/>
        <v>106</v>
      </c>
      <c r="E86" s="2275">
        <f t="shared" ref="E86:F88" si="285">E87+(E$85-E$89)/4</f>
        <v>104.5</v>
      </c>
      <c r="F86" s="2275">
        <f t="shared" si="285"/>
        <v>101.5</v>
      </c>
      <c r="G86" s="3850">
        <v>2002</v>
      </c>
      <c r="H86" s="2227">
        <v>3</v>
      </c>
      <c r="I86" s="2273"/>
      <c r="J86" s="2273"/>
      <c r="K86" s="2273"/>
      <c r="L86" s="2273"/>
      <c r="X86" s="2265"/>
      <c r="Y86" s="2265"/>
      <c r="Z86" s="2265"/>
    </row>
    <row r="87" spans="1:26">
      <c r="A87" s="2201" t="s">
        <v>510</v>
      </c>
      <c r="B87" s="2275">
        <f t="shared" si="284"/>
        <v>104</v>
      </c>
      <c r="C87" s="2275">
        <f t="shared" si="284"/>
        <v>105</v>
      </c>
      <c r="D87" s="2275">
        <f t="shared" si="246"/>
        <v>105</v>
      </c>
      <c r="E87" s="2275">
        <f t="shared" si="285"/>
        <v>104</v>
      </c>
      <c r="F87" s="2275">
        <f t="shared" si="285"/>
        <v>101</v>
      </c>
      <c r="G87" s="3850">
        <v>2002</v>
      </c>
      <c r="H87" s="2214">
        <v>2</v>
      </c>
      <c r="I87" s="2273"/>
      <c r="J87" s="2273"/>
      <c r="K87" s="2273"/>
      <c r="L87" s="2273"/>
      <c r="X87" s="2265"/>
      <c r="Y87" s="2265"/>
      <c r="Z87" s="2265"/>
    </row>
    <row r="88" spans="1:26" s="2238" customFormat="1" ht="13.5" thickBot="1">
      <c r="A88" s="2234" t="s">
        <v>511</v>
      </c>
      <c r="B88" s="2241">
        <f t="shared" si="284"/>
        <v>103</v>
      </c>
      <c r="C88" s="2241">
        <f t="shared" si="284"/>
        <v>104</v>
      </c>
      <c r="D88" s="2241">
        <f t="shared" si="246"/>
        <v>104</v>
      </c>
      <c r="E88" s="2241">
        <f t="shared" si="285"/>
        <v>103.5</v>
      </c>
      <c r="F88" s="2241">
        <f t="shared" si="285"/>
        <v>100.5</v>
      </c>
      <c r="G88" s="385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512</v>
      </c>
      <c r="G91" s="2288"/>
      <c r="N91" s="2288"/>
      <c r="S91" s="2288"/>
    </row>
    <row r="92" spans="1:26" s="2287" customFormat="1">
      <c r="A92" s="2287" t="s">
        <v>513</v>
      </c>
      <c r="G92" s="2288"/>
      <c r="N92" s="2288"/>
      <c r="S92" s="2288"/>
    </row>
    <row r="93" spans="1:26" s="2287" customFormat="1">
      <c r="A93" s="2287" t="s">
        <v>514</v>
      </c>
      <c r="G93" s="2288"/>
      <c r="I93" s="2289"/>
      <c r="J93" s="2289"/>
      <c r="K93" s="2289"/>
      <c r="L93" s="2289"/>
      <c r="N93" s="2290"/>
      <c r="O93" s="2289"/>
      <c r="P93" s="2289"/>
      <c r="Q93" s="2289"/>
      <c r="S93" s="2290"/>
      <c r="T93" s="2289"/>
      <c r="U93" s="2289"/>
      <c r="V93" s="2289"/>
    </row>
    <row r="94" spans="1:26" s="2287" customFormat="1">
      <c r="A94" s="2287" t="s">
        <v>515</v>
      </c>
      <c r="G94" s="2288"/>
      <c r="N94" s="2288"/>
      <c r="S94" s="2288"/>
    </row>
    <row r="101" spans="7:22" ht="13.5" thickBot="1"/>
    <row r="102" spans="7:22">
      <c r="G102" s="2188"/>
      <c r="S102" s="2291" t="s">
        <v>516</v>
      </c>
      <c r="T102" s="2292" t="s">
        <v>517</v>
      </c>
      <c r="U102" s="2292" t="s">
        <v>518</v>
      </c>
      <c r="V102" s="2292" t="s">
        <v>519</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601</v>
      </c>
      <c r="C1" s="1292">
        <f>项目基本情况!D3</f>
        <v>45467</v>
      </c>
      <c r="D1" s="1298" t="s">
        <v>602</v>
      </c>
      <c r="E1" s="1293">
        <f>'数据-取费表'!B22</f>
        <v>1.5</v>
      </c>
      <c r="F1" s="1298" t="s">
        <v>603</v>
      </c>
      <c r="G1" s="1294">
        <f ca="1">INDIRECT("d"&amp;$K$1)/100</f>
        <v>3.4500000000000003E-2</v>
      </c>
      <c r="H1" s="1298" t="s">
        <v>633</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604</v>
      </c>
      <c r="E2" s="1236"/>
      <c r="F2" s="1236" t="s">
        <v>605</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606</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607</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608</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609</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610</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611</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612</v>
      </c>
      <c r="C10" s="1264"/>
      <c r="D10" s="1264"/>
      <c r="E10" s="1264"/>
      <c r="F10" s="1264"/>
      <c r="G10" s="1264"/>
      <c r="H10" s="1264"/>
      <c r="I10" s="1238"/>
      <c r="J10" s="1238"/>
      <c r="K10" s="1264"/>
      <c r="L10" s="1265" t="s">
        <v>613</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614</v>
      </c>
      <c r="C11" s="1269" t="s">
        <v>615</v>
      </c>
      <c r="D11" s="1270" t="s">
        <v>616</v>
      </c>
      <c r="E11" s="1271"/>
      <c r="F11" s="1270" t="s">
        <v>617</v>
      </c>
      <c r="G11" s="1272"/>
      <c r="H11" s="1271"/>
      <c r="I11" s="1270" t="s">
        <v>618</v>
      </c>
      <c r="J11" s="1271"/>
      <c r="K11" s="1267"/>
      <c r="L11" s="1268" t="s">
        <v>614</v>
      </c>
      <c r="M11" s="1269" t="s">
        <v>615</v>
      </c>
      <c r="N11" s="1268" t="s">
        <v>619</v>
      </c>
      <c r="O11" s="1270" t="s">
        <v>620</v>
      </c>
      <c r="P11" s="1272"/>
      <c r="Q11" s="1272"/>
      <c r="R11" s="1272"/>
      <c r="S11" s="1272"/>
      <c r="T11" s="1271"/>
      <c r="U11" s="1270" t="s">
        <v>621</v>
      </c>
      <c r="V11" s="1272"/>
      <c r="W11" s="1271"/>
      <c r="X11" s="1268" t="s">
        <v>622</v>
      </c>
      <c r="Y11" s="1268" t="s">
        <v>623</v>
      </c>
      <c r="Z11" s="1268" t="s">
        <v>624</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625</v>
      </c>
      <c r="E12" s="1277" t="s">
        <v>626</v>
      </c>
      <c r="F12" s="1277" t="s">
        <v>627</v>
      </c>
      <c r="G12" s="1277" t="s">
        <v>628</v>
      </c>
      <c r="H12" s="1277" t="s">
        <v>610</v>
      </c>
      <c r="I12" s="1278" t="s">
        <v>629</v>
      </c>
      <c r="J12" s="1278" t="s">
        <v>629</v>
      </c>
      <c r="K12" s="1274"/>
      <c r="L12" s="1275"/>
      <c r="M12" s="1276"/>
      <c r="N12" s="1275"/>
      <c r="O12" s="1278" t="s">
        <v>630</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631</v>
      </c>
      <c r="C13" s="2817">
        <v>45159</v>
      </c>
      <c r="D13" s="2818">
        <v>3.45</v>
      </c>
      <c r="E13" s="2818">
        <f>D13</f>
        <v>3.45</v>
      </c>
      <c r="F13" s="2818">
        <f>D13</f>
        <v>3.45</v>
      </c>
      <c r="G13" s="2818">
        <f>D13</f>
        <v>3.45</v>
      </c>
      <c r="H13" s="2818">
        <v>4.2</v>
      </c>
      <c r="I13" s="1282"/>
      <c r="J13" s="1282"/>
      <c r="K13" s="1280"/>
      <c r="L13" s="1281" t="s">
        <v>631</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2308</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632</v>
      </c>
      <c r="Y42" s="1286" t="s">
        <v>632</v>
      </c>
      <c r="Z42" s="1286" t="s">
        <v>632</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632</v>
      </c>
      <c r="Y43" s="1286" t="s">
        <v>632</v>
      </c>
      <c r="Z43" s="1286" t="s">
        <v>632</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632</v>
      </c>
      <c r="Y44" s="1286" t="s">
        <v>632</v>
      </c>
      <c r="Z44" s="1286" t="s">
        <v>632</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632</v>
      </c>
      <c r="Y45" s="1286" t="s">
        <v>632</v>
      </c>
      <c r="Z45" s="1286" t="s">
        <v>632</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632</v>
      </c>
      <c r="Y46" s="1286" t="s">
        <v>632</v>
      </c>
      <c r="Z46" s="1286" t="s">
        <v>632</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632</v>
      </c>
      <c r="Y47" s="1286" t="s">
        <v>632</v>
      </c>
      <c r="Z47" s="1286" t="s">
        <v>632</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632</v>
      </c>
      <c r="Y48" s="1286" t="s">
        <v>632</v>
      </c>
      <c r="Z48" s="1286" t="s">
        <v>632</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632</v>
      </c>
      <c r="Y49" s="1286" t="s">
        <v>632</v>
      </c>
      <c r="Z49" s="1286" t="s">
        <v>632</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632</v>
      </c>
      <c r="Y50" s="1286" t="s">
        <v>632</v>
      </c>
      <c r="Z50" s="1286" t="s">
        <v>632</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632</v>
      </c>
      <c r="V51" s="1286" t="s">
        <v>632</v>
      </c>
      <c r="W51" s="1286" t="s">
        <v>632</v>
      </c>
      <c r="X51" s="1286" t="s">
        <v>632</v>
      </c>
      <c r="Y51" s="1286" t="s">
        <v>632</v>
      </c>
      <c r="Z51" s="1286" t="s">
        <v>632</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632</v>
      </c>
      <c r="J66" s="1286" t="s">
        <v>632</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43" t="s">
        <v>948</v>
      </c>
      <c r="B1" s="3543"/>
      <c r="C1" s="3543"/>
      <c r="D1" s="3543"/>
    </row>
    <row r="2" spans="1:4" ht="18">
      <c r="A2" s="3544" t="s">
        <v>932</v>
      </c>
      <c r="B2" s="3544"/>
      <c r="C2" s="3544"/>
      <c r="D2" s="3544"/>
    </row>
    <row r="3" spans="1:4" ht="18.75">
      <c r="A3" s="1505" t="s">
        <v>933</v>
      </c>
      <c r="B3" s="1505" t="s">
        <v>934</v>
      </c>
      <c r="C3" s="1505" t="s">
        <v>935</v>
      </c>
      <c r="D3" s="1505" t="s">
        <v>936</v>
      </c>
    </row>
    <row r="4" spans="1:4" ht="56.25" customHeight="1">
      <c r="A4" s="1506">
        <f>项目基本情况!B4</f>
        <v>0</v>
      </c>
      <c r="B4" s="1507">
        <f>项目基本情况!C4</f>
        <v>0</v>
      </c>
      <c r="C4" s="1508"/>
      <c r="D4" s="1509" t="s">
        <v>937</v>
      </c>
    </row>
    <row r="5" spans="1:4" ht="56.25" customHeight="1">
      <c r="A5" s="1506">
        <f>项目基本情况!D4</f>
        <v>0</v>
      </c>
      <c r="B5" s="1507">
        <f>项目基本情况!E4</f>
        <v>0</v>
      </c>
      <c r="C5" s="1510"/>
      <c r="D5" s="1509" t="s">
        <v>937</v>
      </c>
    </row>
    <row r="6" spans="1:4" ht="18">
      <c r="A6" s="3544" t="s">
        <v>938</v>
      </c>
      <c r="B6" s="3544"/>
      <c r="C6" s="3544"/>
      <c r="D6" s="3544"/>
    </row>
    <row r="7" spans="1:4" ht="18.75">
      <c r="A7" s="1505" t="s">
        <v>933</v>
      </c>
      <c r="B7" s="1507" t="s">
        <v>939</v>
      </c>
      <c r="C7" s="1505" t="s">
        <v>935</v>
      </c>
      <c r="D7" s="1505" t="s">
        <v>936</v>
      </c>
    </row>
    <row r="8" spans="1:4" ht="56.25" customHeight="1">
      <c r="A8" s="1511" t="s">
        <v>389</v>
      </c>
      <c r="B8" s="1511" t="s">
        <v>0</v>
      </c>
      <c r="C8" s="1508"/>
      <c r="D8" s="1509" t="s">
        <v>937</v>
      </c>
    </row>
    <row r="9" spans="1:4">
      <c r="A9" s="674"/>
      <c r="B9" s="674"/>
      <c r="C9" s="674"/>
      <c r="D9" s="674"/>
    </row>
    <row r="10" spans="1:4" ht="18.75">
      <c r="A10" s="1512" t="s">
        <v>940</v>
      </c>
      <c r="B10" s="674"/>
      <c r="C10" s="674"/>
      <c r="D10" s="674"/>
    </row>
    <row r="11" spans="1:4" ht="30" customHeight="1">
      <c r="A11" s="3545" t="s">
        <v>941</v>
      </c>
      <c r="B11" s="3537"/>
      <c r="C11" s="3537"/>
      <c r="D11" s="3537"/>
    </row>
    <row r="12" spans="1:4" ht="15.75">
      <c r="A12" s="35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2"/>
      <c r="C12" s="3542"/>
      <c r="D12" s="3542"/>
    </row>
    <row r="13" spans="1:4" ht="30" customHeight="1">
      <c r="A13" s="35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2"/>
      <c r="C13" s="3542"/>
      <c r="D13" s="3542"/>
    </row>
    <row r="14" spans="1:4" ht="15.75" customHeight="1">
      <c r="A14" s="3537" t="str">
        <f>IF(项目基本情况!B8="抵押","4.本次评估估价师所知悉的法定优先受偿款情况说明如下：","——")</f>
        <v>4.本次评估估价师所知悉的法定优先受偿款情况说明如下：</v>
      </c>
      <c r="B14" s="3542"/>
      <c r="C14" s="3542"/>
      <c r="D14" s="3542"/>
    </row>
    <row r="15" spans="1:4" ht="42" customHeight="1">
      <c r="A15" s="35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7"/>
      <c r="C15" s="3537"/>
      <c r="D15" s="3537"/>
    </row>
    <row r="16" spans="1:4" ht="30" customHeight="1">
      <c r="A16" s="3539" t="s">
        <v>942</v>
      </c>
      <c r="B16" s="3539"/>
      <c r="C16" s="3539"/>
      <c r="D16" s="3539"/>
    </row>
    <row r="17" spans="1:4" ht="144" customHeight="1">
      <c r="A17" s="3539" t="s">
        <v>943</v>
      </c>
      <c r="B17" s="3539"/>
      <c r="C17" s="3539"/>
      <c r="D17" s="3539"/>
    </row>
    <row r="18" spans="1:4" ht="15.75" customHeight="1">
      <c r="A18" s="3537" t="str">
        <f>IF(项目基本情况!B8="抵押",结果表!K120,"——")</f>
        <v>故，本次评估不存在估价师知悉的法定优先受偿款</v>
      </c>
      <c r="B18" s="3537"/>
      <c r="C18" s="3537"/>
      <c r="D18" s="3537"/>
    </row>
    <row r="19" spans="1:4" ht="46.5" customHeight="1">
      <c r="A19" s="35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7"/>
      <c r="C19" s="3537"/>
      <c r="D19" s="3537"/>
    </row>
    <row r="20" spans="1:4" ht="57.75" customHeight="1">
      <c r="A20" s="35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7"/>
      <c r="C20" s="3537"/>
      <c r="D20" s="3537"/>
    </row>
    <row r="21" spans="1:4" ht="57.75" customHeight="1">
      <c r="A21" s="35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0"/>
      <c r="C21" s="3540"/>
      <c r="D21" s="3540"/>
    </row>
    <row r="22" spans="1:4" ht="18.75" customHeight="1">
      <c r="A22" s="3541" t="s">
        <v>944</v>
      </c>
      <c r="B22" s="3541"/>
      <c r="C22" s="3541"/>
      <c r="D22" s="3541"/>
    </row>
    <row r="23" spans="1:4">
      <c r="A23" s="1513"/>
      <c r="B23" s="1485"/>
      <c r="C23" s="1485"/>
      <c r="D23" s="1485"/>
    </row>
    <row r="24" spans="1:4">
      <c r="A24" s="1513"/>
      <c r="B24" s="1485"/>
      <c r="C24" s="1485"/>
      <c r="D24" s="1485"/>
    </row>
    <row r="25" spans="1:4" ht="18.75">
      <c r="A25" s="1514" t="s">
        <v>945</v>
      </c>
    </row>
    <row r="26" spans="1:4" ht="18">
      <c r="A26" s="1483"/>
    </row>
    <row r="27" spans="1:4" ht="18.75">
      <c r="A27" s="1483" t="s">
        <v>946</v>
      </c>
    </row>
    <row r="30" spans="1:4" ht="18.75">
      <c r="D30" s="1514" t="s">
        <v>947</v>
      </c>
    </row>
    <row r="31" spans="1:4" ht="13.5" customHeight="1">
      <c r="C31" s="3538">
        <v>42551</v>
      </c>
      <c r="D31" s="35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390</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949</v>
      </c>
    </row>
    <row r="3" spans="1:7">
      <c r="A3" s="1519" t="s">
        <v>55</v>
      </c>
      <c r="B3" s="1503" t="s">
        <v>950</v>
      </c>
      <c r="G3" s="1520"/>
    </row>
    <row r="4" spans="1:7">
      <c r="G4" s="1520"/>
    </row>
    <row r="5" spans="1:7">
      <c r="A5" s="1522" t="s">
        <v>46</v>
      </c>
      <c r="B5" s="1503" t="s">
        <v>951</v>
      </c>
      <c r="G5" s="1520"/>
    </row>
    <row r="6" spans="1:7">
      <c r="G6" s="1520"/>
    </row>
    <row r="7" spans="1:7">
      <c r="A7" s="1523" t="s">
        <v>108</v>
      </c>
      <c r="B7" s="1503" t="s">
        <v>952</v>
      </c>
      <c r="G7" s="1520"/>
    </row>
    <row r="8" spans="1:7">
      <c r="G8" s="1520"/>
    </row>
    <row r="9" spans="1:7">
      <c r="A9" s="1524" t="s">
        <v>47</v>
      </c>
      <c r="B9" s="1503" t="s">
        <v>953</v>
      </c>
    </row>
    <row r="11" spans="1:7">
      <c r="A11" s="1525" t="s">
        <v>48</v>
      </c>
      <c r="B11" s="1526" t="s">
        <v>45</v>
      </c>
    </row>
    <row r="13" spans="1:7">
      <c r="A13" s="1527" t="s">
        <v>954</v>
      </c>
    </row>
    <row r="15" spans="1:7" ht="13.5">
      <c r="A15" s="3551" t="s">
        <v>955</v>
      </c>
      <c r="B15" s="3546" t="s">
        <v>109</v>
      </c>
      <c r="C15" s="3547"/>
    </row>
    <row r="16" spans="1:7" ht="13.5">
      <c r="A16" s="3552"/>
      <c r="B16" s="3546" t="s">
        <v>42</v>
      </c>
      <c r="C16" s="3547"/>
    </row>
    <row r="17" spans="1:3" ht="13.5">
      <c r="A17" s="3552"/>
      <c r="B17" s="3549" t="s">
        <v>956</v>
      </c>
      <c r="C17" s="1528" t="s">
        <v>955</v>
      </c>
    </row>
    <row r="18" spans="1:3" ht="13.5">
      <c r="A18" s="3552"/>
      <c r="B18" s="3549"/>
      <c r="C18" s="1528" t="s">
        <v>957</v>
      </c>
    </row>
    <row r="19" spans="1:3" ht="13.5">
      <c r="A19" s="3552"/>
      <c r="B19" s="3549"/>
      <c r="C19" s="1528" t="s">
        <v>958</v>
      </c>
    </row>
    <row r="20" spans="1:3" ht="13.5">
      <c r="A20" s="3553"/>
      <c r="B20" s="3548" t="s">
        <v>959</v>
      </c>
      <c r="C20" s="3547"/>
    </row>
    <row r="21" spans="1:3" ht="13.5">
      <c r="A21" s="1529" t="s">
        <v>960</v>
      </c>
      <c r="B21" s="1530"/>
      <c r="C21" s="1531"/>
    </row>
    <row r="22" spans="1:3" ht="13.5">
      <c r="A22" s="3550" t="s">
        <v>961</v>
      </c>
      <c r="B22" s="3548" t="s">
        <v>962</v>
      </c>
      <c r="C22" s="3547"/>
    </row>
    <row r="23" spans="1:3" ht="13.5">
      <c r="A23" s="3550"/>
      <c r="B23" s="3548" t="s">
        <v>963</v>
      </c>
      <c r="C23" s="3547"/>
    </row>
    <row r="24" spans="1:3" ht="13.5">
      <c r="A24" s="3550"/>
      <c r="B24" s="3548" t="s">
        <v>964</v>
      </c>
      <c r="C24" s="3547"/>
    </row>
    <row r="25" spans="1:3" ht="13.5">
      <c r="A25" s="3550"/>
      <c r="B25" s="3549" t="s">
        <v>965</v>
      </c>
      <c r="C25" s="1528" t="s">
        <v>966</v>
      </c>
    </row>
    <row r="26" spans="1:3" ht="13.5">
      <c r="A26" s="3550"/>
      <c r="B26" s="3549"/>
      <c r="C26" s="1528" t="s">
        <v>967</v>
      </c>
    </row>
    <row r="27" spans="1:3" ht="13.5">
      <c r="A27" s="3550"/>
      <c r="B27" s="3549"/>
      <c r="C27" s="1528" t="s">
        <v>968</v>
      </c>
    </row>
    <row r="28" spans="1:3" ht="13.5">
      <c r="A28" s="3550"/>
      <c r="B28" s="3549"/>
      <c r="C28" s="1528" t="s">
        <v>969</v>
      </c>
    </row>
    <row r="29" spans="1:3" ht="13.5">
      <c r="A29" s="3550"/>
      <c r="B29" s="3549"/>
      <c r="C29" s="1528" t="s">
        <v>970</v>
      </c>
    </row>
    <row r="30" spans="1:3" ht="13.5">
      <c r="A30" s="3550"/>
      <c r="B30" s="3549"/>
      <c r="C30" s="1528" t="s">
        <v>971</v>
      </c>
    </row>
    <row r="31" spans="1:3" ht="13.5">
      <c r="A31" s="3550"/>
      <c r="B31" s="3549"/>
      <c r="C31" s="1528" t="s">
        <v>972</v>
      </c>
    </row>
    <row r="32" spans="1:3" ht="13.5">
      <c r="A32" s="3550"/>
      <c r="B32" s="3549"/>
      <c r="C32" s="1528" t="s">
        <v>973</v>
      </c>
    </row>
    <row r="33" spans="1:3" ht="13.5">
      <c r="A33" s="3550"/>
      <c r="B33" s="3549"/>
      <c r="C33" s="1528" t="s">
        <v>974</v>
      </c>
    </row>
    <row r="34" spans="1:3">
      <c r="A34" s="1532" t="s">
        <v>49</v>
      </c>
    </row>
    <row r="37" spans="1:3">
      <c r="A37" s="1532" t="s">
        <v>975</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45475</v>
      </c>
      <c r="C2" s="2336" t="s">
        <v>2135</v>
      </c>
      <c r="D2" s="2336"/>
      <c r="E2" s="2336"/>
      <c r="F2" s="2332"/>
      <c r="G2" s="2332"/>
      <c r="H2" s="2332"/>
    </row>
    <row r="3" spans="1:8" ht="24" customHeight="1">
      <c r="A3" s="2337" t="s">
        <v>2136</v>
      </c>
      <c r="B3" s="2338" t="s">
        <v>2137</v>
      </c>
      <c r="C3" s="2338" t="s">
        <v>2138</v>
      </c>
      <c r="D3" s="2339" t="s">
        <v>2139</v>
      </c>
      <c r="E3" s="2340" t="s">
        <v>2140</v>
      </c>
      <c r="F3" s="1300" t="s">
        <v>2141</v>
      </c>
      <c r="G3" s="2338" t="s">
        <v>2138</v>
      </c>
      <c r="H3" s="2339" t="s">
        <v>2142</v>
      </c>
    </row>
    <row r="4" spans="1:8" ht="24" customHeight="1">
      <c r="A4" s="1300" t="s">
        <v>2143</v>
      </c>
      <c r="B4" s="1300">
        <f ca="1">IF(C4&lt;B2,"已过期",1119970066)</f>
        <v>1119970066</v>
      </c>
      <c r="C4" s="2341">
        <v>45937</v>
      </c>
      <c r="D4" s="2342" t="str">
        <f ca="1">A4&amp;"（注册号："&amp;B4&amp;"）"</f>
        <v>梁津（注册号：1119970066）</v>
      </c>
      <c r="E4" s="2343" t="s">
        <v>2143</v>
      </c>
      <c r="F4" s="1300">
        <f ca="1">IF(G4&lt;B2,"已过期",96010014)</f>
        <v>96010014</v>
      </c>
      <c r="G4" s="2344">
        <v>47118</v>
      </c>
      <c r="H4" s="2345" t="str">
        <f ca="1">E4&amp;"（注册号："&amp;F4&amp;"）"</f>
        <v>梁津（注册号：96010014）</v>
      </c>
    </row>
    <row r="5" spans="1:8" ht="24" customHeight="1">
      <c r="A5" s="1300" t="s">
        <v>2144</v>
      </c>
      <c r="B5" s="1300">
        <f ca="1">IF(C5&lt;B2,"已过期",1119970111)</f>
        <v>1119970111</v>
      </c>
      <c r="C5" s="2341">
        <v>45937</v>
      </c>
      <c r="D5" s="2342" t="str">
        <f t="shared" ref="D5:D15" ca="1" si="0">A5&amp;"（注册号："&amp;B5&amp;"）"</f>
        <v>叶凌（注册号：1119970111）</v>
      </c>
      <c r="E5" s="2343" t="s">
        <v>2144</v>
      </c>
      <c r="F5" s="1300">
        <f ca="1">IF(G5&lt;B2,"已过期",94010078)</f>
        <v>94010078</v>
      </c>
      <c r="G5" s="2344">
        <v>46387</v>
      </c>
      <c r="H5" s="2345" t="str">
        <f t="shared" ref="H5:H16" ca="1" si="1">E5&amp;"（注册号："&amp;F5&amp;"）"</f>
        <v>叶凌（注册号：94010078）</v>
      </c>
    </row>
    <row r="6" spans="1:8" ht="24" customHeight="1">
      <c r="A6" s="1300" t="s">
        <v>2145</v>
      </c>
      <c r="B6" s="1300" t="str">
        <f ca="1">IF(C6&lt;B2,"已过期",1120050019)</f>
        <v>已过期</v>
      </c>
      <c r="C6" s="2341">
        <v>45410</v>
      </c>
      <c r="D6" s="2342" t="str">
        <f t="shared" ca="1" si="0"/>
        <v>王鹏（注册号：已过期）</v>
      </c>
      <c r="E6" s="2343" t="s">
        <v>2145</v>
      </c>
      <c r="F6" s="1300">
        <f ca="1">IF(G6&lt;B2,"已过期",2002110030)</f>
        <v>2002110030</v>
      </c>
      <c r="G6" s="2344">
        <v>46387</v>
      </c>
      <c r="H6" s="2345" t="str">
        <f t="shared" ca="1" si="1"/>
        <v>王鹏（注册号：2002110030）</v>
      </c>
    </row>
    <row r="7" spans="1:8" ht="24" customHeight="1">
      <c r="A7" s="1300" t="s">
        <v>2146</v>
      </c>
      <c r="B7" s="1300">
        <f ca="1">IF(C7&lt;B2,"已过期",1120000080)</f>
        <v>1120000080</v>
      </c>
      <c r="C7" s="2341">
        <v>45937</v>
      </c>
      <c r="D7" s="2342" t="str">
        <f t="shared" ca="1" si="0"/>
        <v>欧红伟（注册号：1120000080）</v>
      </c>
      <c r="E7" s="2343" t="s">
        <v>2146</v>
      </c>
      <c r="F7" s="1300">
        <f ca="1">IF(G7&lt;B2,"已过期",2000110082)</f>
        <v>2000110082</v>
      </c>
      <c r="G7" s="2344">
        <v>46387</v>
      </c>
      <c r="H7" s="2345" t="str">
        <f t="shared" ca="1" si="1"/>
        <v>欧红伟（注册号：2000110082）</v>
      </c>
    </row>
    <row r="8" spans="1:8" ht="24" customHeight="1">
      <c r="A8" s="1300" t="s">
        <v>2147</v>
      </c>
      <c r="B8" s="1300">
        <f ca="1">IF(C8&lt;B2,"已过期",1419970001)</f>
        <v>1419970001</v>
      </c>
      <c r="C8" s="2341">
        <v>45937</v>
      </c>
      <c r="D8" s="2342" t="str">
        <f t="shared" ca="1" si="0"/>
        <v>吴薇（注册号：1419970001）</v>
      </c>
      <c r="E8" s="2343" t="s">
        <v>2147</v>
      </c>
      <c r="F8" s="1300">
        <f ca="1">IF(G8&lt;B2,"已过期",2002110125)</f>
        <v>2002110125</v>
      </c>
      <c r="G8" s="2344">
        <v>47118</v>
      </c>
      <c r="H8" s="2345" t="str">
        <f t="shared" ca="1" si="1"/>
        <v>吴薇（注册号：2002110125）</v>
      </c>
    </row>
    <row r="9" spans="1:8" ht="24" customHeight="1">
      <c r="A9" s="1300" t="s">
        <v>2148</v>
      </c>
      <c r="B9" s="1300">
        <f ca="1">IF(C9&lt;B2,"已过期",1120060040)</f>
        <v>1120060040</v>
      </c>
      <c r="C9" s="2346">
        <v>45592</v>
      </c>
      <c r="D9" s="2342" t="str">
        <f t="shared" ca="1" si="0"/>
        <v>陈颖（注册号：1120060040）</v>
      </c>
      <c r="E9" s="2343" t="s">
        <v>2148</v>
      </c>
      <c r="F9" s="1300">
        <f ca="1">IF(G9&lt;B2,"已过期",2004110096)</f>
        <v>2004110096</v>
      </c>
      <c r="G9" s="2344">
        <v>47118</v>
      </c>
      <c r="H9" s="2345" t="str">
        <f t="shared" ca="1" si="1"/>
        <v>陈颖（注册号：2004110096）</v>
      </c>
    </row>
    <row r="10" spans="1:8" ht="24" customHeight="1">
      <c r="A10" s="1300" t="s">
        <v>2149</v>
      </c>
      <c r="B10" s="1300">
        <f ca="1">IF(C10&lt;B2,"已过期",1120100036)</f>
        <v>1120100036</v>
      </c>
      <c r="C10" s="2346">
        <v>45752</v>
      </c>
      <c r="D10" s="2342" t="str">
        <f t="shared" ca="1" si="0"/>
        <v>崔锴（注册号：1120100036）</v>
      </c>
      <c r="E10" s="2343" t="s">
        <v>2149</v>
      </c>
      <c r="F10" s="1300">
        <f ca="1">IF(G10&lt;B2,"已过期",2010110070)</f>
        <v>2010110070</v>
      </c>
      <c r="G10" s="2344">
        <v>47907</v>
      </c>
      <c r="H10" s="2345" t="str">
        <f t="shared" ca="1" si="1"/>
        <v>崔锴（注册号：2010110070）</v>
      </c>
    </row>
    <row r="11" spans="1:8" ht="24" customHeight="1">
      <c r="A11" s="1300" t="s">
        <v>2150</v>
      </c>
      <c r="B11" s="1300">
        <f ca="1">IF(C11&lt;B2,"已过期",1120070131)</f>
        <v>1120070131</v>
      </c>
      <c r="C11" s="2341">
        <v>45937</v>
      </c>
      <c r="D11" s="2342" t="str">
        <f t="shared" ca="1" si="0"/>
        <v>郑燚（注册号：1120070131）</v>
      </c>
      <c r="E11" s="2343" t="s">
        <v>2150</v>
      </c>
      <c r="F11" s="1300">
        <f ca="1">IF(G11&lt;B2,"已过期",2014110011)</f>
        <v>2014110011</v>
      </c>
      <c r="G11" s="2344">
        <v>49302</v>
      </c>
      <c r="H11" s="2345" t="str">
        <f t="shared" ca="1" si="1"/>
        <v>郑燚（注册号：2014110011）</v>
      </c>
    </row>
    <row r="12" spans="1:8" ht="24" customHeight="1">
      <c r="A12" s="1300" t="s">
        <v>2151</v>
      </c>
      <c r="B12" s="1300">
        <f ca="1">IF(C12&lt;B2,"已过期",1120040230)</f>
        <v>1120040230</v>
      </c>
      <c r="C12" s="2346">
        <v>45937</v>
      </c>
      <c r="D12" s="2342" t="str">
        <f t="shared" ca="1" si="0"/>
        <v>苏海（注册号：1120040230）</v>
      </c>
      <c r="E12" s="2343" t="s">
        <v>2151</v>
      </c>
      <c r="F12" s="1300">
        <f ca="1">IF(G12&lt;B2,"已过期",98030020)</f>
        <v>98030020</v>
      </c>
      <c r="G12" s="2344">
        <v>47118</v>
      </c>
      <c r="H12" s="2345" t="str">
        <f t="shared" ca="1" si="1"/>
        <v>苏海（注册号：98030020）</v>
      </c>
    </row>
    <row r="13" spans="1:8" ht="24" customHeight="1">
      <c r="A13" s="1300" t="s">
        <v>2152</v>
      </c>
      <c r="B13" s="1300" t="str">
        <f ca="1">IF(C13&lt;B2,"已过期",1120020033)</f>
        <v>已过期</v>
      </c>
      <c r="C13" s="2341">
        <v>45375</v>
      </c>
      <c r="D13" s="2342" t="str">
        <f t="shared" ca="1" si="0"/>
        <v>刘敬东（注册号：已过期）</v>
      </c>
      <c r="E13" s="2343" t="s">
        <v>2152</v>
      </c>
      <c r="F13" s="1300">
        <f ca="1">IF(G13&lt;B2,"已过期",2000110137)</f>
        <v>2000110137</v>
      </c>
      <c r="G13" s="2344">
        <v>46387</v>
      </c>
      <c r="H13" s="2345" t="str">
        <f t="shared" ca="1" si="1"/>
        <v>刘敬东（注册号：2000110137）</v>
      </c>
    </row>
    <row r="14" spans="1:8" ht="24" customHeight="1">
      <c r="A14" s="1300" t="s">
        <v>2153</v>
      </c>
      <c r="B14" s="1300" t="str">
        <f ca="1">IF(C14&lt;B2,"已过期",1119980106)</f>
        <v>已过期</v>
      </c>
      <c r="C14" s="2346">
        <v>44969</v>
      </c>
      <c r="D14" s="2342" t="str">
        <f t="shared" ca="1" si="0"/>
        <v>刘俊财（注册号：已过期）</v>
      </c>
      <c r="E14" s="2343" t="s">
        <v>2153</v>
      </c>
      <c r="F14" s="1300">
        <f ca="1">IF(G14&lt;B2,"已过期",96010063)</f>
        <v>96010063</v>
      </c>
      <c r="G14" s="2344">
        <v>47483</v>
      </c>
      <c r="H14" s="2345" t="str">
        <f t="shared" ca="1" si="1"/>
        <v>刘俊财（注册号：96010063）</v>
      </c>
    </row>
    <row r="15" spans="1:8" ht="24" customHeight="1">
      <c r="A15" s="1300" t="s">
        <v>2436</v>
      </c>
      <c r="B15" s="1300">
        <v>1120210056</v>
      </c>
      <c r="C15" s="2346">
        <v>45410</v>
      </c>
      <c r="D15" s="2342" t="str">
        <f t="shared" si="0"/>
        <v>宁小鳗（注册号：1120210056）</v>
      </c>
      <c r="E15" s="2343" t="s">
        <v>2154</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54" t="s">
        <v>2155</v>
      </c>
      <c r="B17" s="3554"/>
      <c r="C17" s="3554"/>
      <c r="D17" s="3554"/>
      <c r="E17" s="3554"/>
      <c r="F17" s="3554"/>
      <c r="G17" s="3554"/>
      <c r="H17" s="3554"/>
    </row>
    <row r="18" spans="1:8" ht="24" customHeight="1">
      <c r="A18" s="3555" t="s">
        <v>2156</v>
      </c>
      <c r="B18" s="3555"/>
      <c r="C18" s="3555"/>
      <c r="D18" s="2339"/>
      <c r="E18" s="3556" t="s">
        <v>2157</v>
      </c>
      <c r="F18" s="3555"/>
      <c r="G18" s="3555"/>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成本法</vt:lpstr>
      <vt:lpstr>假设开发法</vt:lpstr>
      <vt:lpstr>收益法（汇总）</vt:lpstr>
      <vt:lpstr>收益法</vt:lpstr>
      <vt:lpstr>收益法-商业</vt:lpstr>
      <vt:lpstr>比较法-商业</vt:lpstr>
      <vt:lpstr>成本法 (元)</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收益法-车库</vt:lpstr>
      <vt:lpstr>基准地价（汇总）</vt:lpstr>
      <vt:lpstr>基准地价修正</vt:lpstr>
      <vt:lpstr>基准地价修正-商业</vt:lpstr>
      <vt:lpstr>土地比较法-工业</vt:lpstr>
      <vt:lpstr>典型户型修正</vt:lpstr>
      <vt:lpstr>修正</vt:lpstr>
      <vt:lpstr>容积率修正</vt:lpstr>
      <vt:lpstr>成本法（废）</vt:lpstr>
      <vt:lpstr>案例信息</vt:lpstr>
      <vt:lpstr>结果表-6号楼</vt:lpstr>
      <vt:lpstr>成本法-6号楼</vt:lpstr>
      <vt:lpstr>收益法-6号楼</vt:lpstr>
      <vt:lpstr>基准地价修正 (2)</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'基准地价修正-商业'!Print_Area</vt:lpstr>
      <vt:lpstr>假设开发法!Print_Area</vt:lpstr>
      <vt:lpstr>结果表!Print_Area</vt:lpstr>
      <vt:lpstr>'结果表-6号楼'!Print_Area</vt:lpstr>
      <vt:lpstr>收益法!Print_Area</vt:lpstr>
      <vt:lpstr>'收益法 (元)'!Print_Area</vt:lpstr>
      <vt:lpstr>'收益法（汇总）'!Print_Area</vt:lpstr>
      <vt:lpstr>'收益法-6号楼'!Print_Area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2024-07-02T06:03:28Z</dcterms:modified>
</cp:coreProperties>
</file>