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state="hidden" r:id="rId22"/>
    <sheet name="收益法" sheetId="87" r:id="rId23"/>
    <sheet name="收益法-商业" sheetId="15" state="hidden"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state="hidden" r:id="rId35"/>
    <sheet name="基准地价（汇总）" sheetId="76" state="hidden" r:id="rId36"/>
    <sheet name="基准地价修正" sheetId="43" r:id="rId37"/>
    <sheet name="基准地价修正-商业" sheetId="86"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Sheet1" sheetId="91"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7">'基准地价修正 (2)'!$A$1:$J$44,'基准地价修正 (2)'!$A$47:$H$101,'基准地价修正 (2)'!$R$1:$V$16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3" i="1" l="1"/>
  <c r="V24" i="1"/>
  <c r="U23" i="1"/>
  <c r="U22" i="1"/>
  <c r="U21" i="1"/>
  <c r="C6" i="68" l="1"/>
  <c r="D33" i="43"/>
  <c r="G44" i="43"/>
  <c r="L52" i="87"/>
  <c r="N6" i="1"/>
  <c r="G19" i="6"/>
  <c r="F19" i="6"/>
  <c r="K19" i="3"/>
  <c r="I14" i="3"/>
  <c r="I15" i="3"/>
  <c r="I16" i="3"/>
  <c r="I17" i="3"/>
  <c r="I18" i="3"/>
  <c r="I19" i="3"/>
  <c r="I13" i="3"/>
  <c r="G39" i="6" l="1"/>
  <c r="D37" i="86" l="1"/>
  <c r="D33" i="86"/>
  <c r="J12" i="90"/>
  <c r="I13" i="90"/>
  <c r="I12" i="90"/>
  <c r="K4" i="90"/>
  <c r="J4" i="90"/>
  <c r="I4" i="90"/>
  <c r="E4" i="90"/>
  <c r="B7" i="90"/>
  <c r="E10" i="90"/>
  <c r="B10" i="90"/>
  <c r="G2" i="90"/>
  <c r="F3" i="90"/>
  <c r="E3" i="90" s="1"/>
  <c r="B6" i="90"/>
  <c r="N18" i="1"/>
  <c r="M25" i="1" l="1"/>
  <c r="P74" i="88" l="1"/>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D69" i="86"/>
  <c r="B69" i="86"/>
  <c r="N68" i="86"/>
  <c r="M68" i="86"/>
  <c r="K68" i="86"/>
  <c r="J68" i="86" s="1"/>
  <c r="D68" i="86"/>
  <c r="B68" i="86"/>
  <c r="M67" i="86"/>
  <c r="N67" i="86" s="1"/>
  <c r="K67" i="86"/>
  <c r="J67" i="86" s="1"/>
  <c r="D67" i="86"/>
  <c r="B67" i="86"/>
  <c r="N66" i="86"/>
  <c r="M66" i="86"/>
  <c r="K66" i="86"/>
  <c r="D66" i="86" s="1"/>
  <c r="M65" i="86"/>
  <c r="N65" i="86" s="1"/>
  <c r="K65" i="86"/>
  <c r="J65" i="86" s="1"/>
  <c r="B65" i="86"/>
  <c r="M64" i="86"/>
  <c r="N64" i="86" s="1"/>
  <c r="K64" i="86"/>
  <c r="J64" i="86" s="1"/>
  <c r="D64" i="86"/>
  <c r="N63" i="86"/>
  <c r="M63" i="86"/>
  <c r="K63" i="86"/>
  <c r="J63" i="86"/>
  <c r="D63" i="86"/>
  <c r="B63" i="86"/>
  <c r="M62" i="86"/>
  <c r="N62" i="86" s="1"/>
  <c r="K62" i="86"/>
  <c r="J62" i="86" s="1"/>
  <c r="D62" i="86"/>
  <c r="B62" i="86"/>
  <c r="M61" i="86"/>
  <c r="N61" i="86" s="1"/>
  <c r="K61" i="86"/>
  <c r="F61" i="86"/>
  <c r="H68" i="86" s="1"/>
  <c r="B61" i="86"/>
  <c r="B58" i="86"/>
  <c r="B57" i="86"/>
  <c r="B56" i="86"/>
  <c r="B54" i="86"/>
  <c r="B52" i="86"/>
  <c r="B51" i="86"/>
  <c r="B50" i="86"/>
  <c r="H42" i="86"/>
  <c r="H41" i="86"/>
  <c r="H40" i="86"/>
  <c r="H39" i="86"/>
  <c r="H38" i="86"/>
  <c r="H37" i="86"/>
  <c r="J24" i="86"/>
  <c r="G24" i="86"/>
  <c r="G18" i="86" s="1"/>
  <c r="E24" i="86"/>
  <c r="Q32" i="86" s="1"/>
  <c r="M23" i="86"/>
  <c r="I23" i="86"/>
  <c r="C22"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C7" i="86"/>
  <c r="I2" i="86"/>
  <c r="M12" i="86" s="1"/>
  <c r="G2" i="86"/>
  <c r="F41" i="86" s="1"/>
  <c r="D1" i="86"/>
  <c r="M1" i="86" l="1"/>
  <c r="H95" i="86"/>
  <c r="H21" i="86"/>
  <c r="X7" i="86"/>
  <c r="I21" i="86"/>
  <c r="H62" i="86"/>
  <c r="H69" i="86"/>
  <c r="S4" i="86"/>
  <c r="C21" i="86"/>
  <c r="L21" i="86"/>
  <c r="H63" i="86"/>
  <c r="S6" i="86"/>
  <c r="D21" i="86"/>
  <c r="M21" i="86"/>
  <c r="H65" i="86"/>
  <c r="D22" i="88"/>
  <c r="D23" i="88"/>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G21" i="86" l="1"/>
  <c r="C20" i="86" s="1"/>
  <c r="C5" i="86" s="1"/>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D73" i="84"/>
  <c r="B73" i="84"/>
  <c r="M72" i="84"/>
  <c r="N72" i="84" s="1"/>
  <c r="K72" i="84"/>
  <c r="J72" i="84" s="1"/>
  <c r="F72" i="84"/>
  <c r="H73" i="84" s="1"/>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O21" i="84" s="1"/>
  <c r="C40" i="83"/>
  <c r="F38" i="83"/>
  <c r="E37" i="83"/>
  <c r="F36" i="83"/>
  <c r="F35" i="83"/>
  <c r="F30" i="83"/>
  <c r="F48" i="83" s="1"/>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F21" i="82"/>
  <c r="M20" i="82"/>
  <c r="F20" i="82"/>
  <c r="M19" i="82"/>
  <c r="M18" i="82"/>
  <c r="F18" i="82"/>
  <c r="M17" i="82"/>
  <c r="F17" i="82"/>
  <c r="F15" i="82"/>
  <c r="D37" i="84"/>
  <c r="H37" i="84" s="1"/>
  <c r="E2" i="83"/>
  <c r="M1" i="84" l="1"/>
  <c r="N4" i="84"/>
  <c r="D22" i="82"/>
  <c r="D23" i="82"/>
  <c r="M6" i="84"/>
  <c r="N9" i="84"/>
  <c r="D5" i="86"/>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D78" i="9"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AC17" i="3"/>
  <c r="AT5" i="3"/>
  <c r="I5" i="3"/>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G64" i="43" s="1"/>
  <c r="M64" i="43" s="1"/>
  <c r="N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G22" i="69"/>
  <c r="C6" i="43"/>
  <c r="B19" i="53"/>
  <c r="B37" i="72" s="1"/>
  <c r="C7" i="21"/>
  <c r="A4" i="51"/>
  <c r="B6" i="72" s="1"/>
  <c r="L20" i="6"/>
  <c r="K11" i="1"/>
  <c r="M11" i="1" s="1"/>
  <c r="O11" i="1" s="1"/>
  <c r="B9" i="1"/>
  <c r="E9" i="1" s="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E13" i="76"/>
  <c r="E12" i="76"/>
  <c r="F7" i="73"/>
  <c r="F3" i="73"/>
  <c r="E8" i="76"/>
  <c r="AO13" i="1"/>
  <c r="E10" i="76"/>
  <c r="B9" i="76"/>
  <c r="B8" i="76"/>
  <c r="E9" i="76"/>
  <c r="B11" i="76"/>
  <c r="D6" i="73"/>
  <c r="B10" i="76"/>
  <c r="B13" i="76"/>
  <c r="F4" i="73"/>
  <c r="D3" i="73"/>
  <c r="B12" i="76"/>
  <c r="D4" i="73"/>
  <c r="F20" i="31"/>
  <c r="E11" i="76"/>
  <c r="D5" i="73"/>
  <c r="E2" i="68"/>
  <c r="F5" i="73"/>
  <c r="D7" i="73"/>
  <c r="E2" i="69"/>
  <c r="G41" i="69" l="1"/>
  <c r="G41" i="83"/>
  <c r="G22" i="83"/>
  <c r="G22" i="11"/>
  <c r="E1" i="73"/>
  <c r="G26" i="12"/>
  <c r="F34" i="68"/>
  <c r="C36" i="68" s="1"/>
  <c r="D22" i="15"/>
  <c r="G22" i="68"/>
  <c r="G17" i="3"/>
  <c r="G20" i="3"/>
  <c r="BR5" i="3"/>
  <c r="G28" i="6" s="1"/>
  <c r="G30" i="6" s="1"/>
  <c r="G31" i="6" s="1"/>
  <c r="G18" i="3"/>
  <c r="BD5" i="3"/>
  <c r="K64" i="43"/>
  <c r="J64" i="43" s="1"/>
  <c r="G1" i="88"/>
  <c r="G1" i="87"/>
  <c r="G15" i="3"/>
  <c r="C7" i="35"/>
  <c r="C48" i="35" s="1"/>
  <c r="D48" i="35" s="1"/>
  <c r="G23" i="86"/>
  <c r="J51" i="88"/>
  <c r="J51" i="87"/>
  <c r="F11" i="1"/>
  <c r="G11" i="1" s="1"/>
  <c r="G44" i="86"/>
  <c r="C44" i="86" s="1"/>
  <c r="F8" i="1"/>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AZ18" i="3" s="1"/>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F29" i="6"/>
  <c r="F6" i="1"/>
  <c r="H69" i="43"/>
  <c r="G69" i="43" s="1"/>
  <c r="E115" i="33"/>
  <c r="F115" i="33" s="1"/>
  <c r="G115" i="33" s="1"/>
  <c r="H115" i="33" s="1"/>
  <c r="I115" i="33" s="1"/>
  <c r="J115" i="33" s="1"/>
  <c r="K115" i="33" s="1"/>
  <c r="L115" i="33" s="1"/>
  <c r="M115" i="33" s="1"/>
  <c r="F27" i="33"/>
  <c r="AA27" i="33" s="1"/>
  <c r="C18" i="9"/>
  <c r="D18" i="9" s="1"/>
  <c r="BB5" i="3"/>
  <c r="N54" i="43"/>
  <c r="K54" i="43"/>
  <c r="J54" i="43" s="1"/>
  <c r="H50" i="43"/>
  <c r="G50" i="43" s="1"/>
  <c r="H67" i="43"/>
  <c r="G67" i="43" s="1"/>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D61" i="43"/>
  <c r="P61" i="15"/>
  <c r="C48" i="69"/>
  <c r="C30" i="11"/>
  <c r="C21" i="69"/>
  <c r="J85"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F34" i="83"/>
  <c r="M8" i="88"/>
  <c r="F13" i="88"/>
  <c r="F40" i="88"/>
  <c r="F8" i="88"/>
  <c r="F9" i="88"/>
  <c r="M22" i="88"/>
  <c r="F16" i="87"/>
  <c r="F8" i="87"/>
  <c r="M23" i="87"/>
  <c r="F13" i="87"/>
  <c r="M6" i="87"/>
  <c r="M26" i="87"/>
  <c r="F9" i="82"/>
  <c r="F13" i="82"/>
  <c r="F8" i="67"/>
  <c r="F13" i="15"/>
  <c r="L48" i="88"/>
  <c r="M8" i="67"/>
  <c r="M6" i="15"/>
  <c r="F36" i="15"/>
  <c r="M22" i="67"/>
  <c r="M28" i="82"/>
  <c r="F42" i="67"/>
  <c r="F13" i="67"/>
  <c r="F40" i="82"/>
  <c r="F43" i="82"/>
  <c r="M9" i="15"/>
  <c r="L48" i="82"/>
  <c r="M29" i="82"/>
  <c r="L47" i="67"/>
  <c r="F9" i="15"/>
  <c r="M24" i="82"/>
  <c r="M29" i="88"/>
  <c r="M28" i="88"/>
  <c r="F16" i="88"/>
  <c r="M9" i="88"/>
  <c r="F26" i="88"/>
  <c r="M6" i="88"/>
  <c r="F9" i="87"/>
  <c r="M9" i="87"/>
  <c r="C76" i="87"/>
  <c r="F8" i="82"/>
  <c r="M6" i="67"/>
  <c r="F7" i="82"/>
  <c r="F6" i="15"/>
  <c r="J15" i="67"/>
  <c r="M27" i="82"/>
  <c r="F9" i="67"/>
  <c r="F6" i="88"/>
  <c r="M26" i="88"/>
  <c r="M24" i="88"/>
  <c r="M22" i="87"/>
  <c r="F37" i="87"/>
  <c r="M8" i="15"/>
  <c r="M26" i="67"/>
  <c r="F38" i="15"/>
  <c r="L48" i="15"/>
  <c r="M23" i="82"/>
  <c r="F37" i="82"/>
  <c r="G1" i="73"/>
  <c r="J15" i="87"/>
  <c r="M24" i="67"/>
  <c r="F8" i="15"/>
  <c r="F43" i="88"/>
  <c r="C76" i="88"/>
  <c r="M27" i="87"/>
  <c r="M26" i="82"/>
  <c r="C76" i="15"/>
  <c r="F6" i="82"/>
  <c r="F16" i="15"/>
  <c r="M28" i="67"/>
  <c r="F36" i="67"/>
  <c r="F38" i="88"/>
  <c r="M22" i="82"/>
  <c r="F26" i="67"/>
  <c r="L47" i="88"/>
  <c r="M27" i="88"/>
  <c r="F7" i="88"/>
  <c r="F36" i="88"/>
  <c r="F37" i="88"/>
  <c r="F42" i="88"/>
  <c r="L47" i="87"/>
  <c r="F40" i="87"/>
  <c r="M24" i="87"/>
  <c r="M8" i="87"/>
  <c r="F42" i="87"/>
  <c r="F36" i="87"/>
  <c r="L47" i="82"/>
  <c r="L48" i="67"/>
  <c r="M24" i="15"/>
  <c r="F37" i="67"/>
  <c r="M23" i="67"/>
  <c r="F40" i="67"/>
  <c r="L47" i="15"/>
  <c r="J15" i="82"/>
  <c r="C76" i="67"/>
  <c r="F42" i="82"/>
  <c r="F27" i="83"/>
  <c r="L48" i="87"/>
  <c r="C36" i="83"/>
  <c r="F38" i="67"/>
  <c r="F40" i="15"/>
  <c r="C76" i="82"/>
  <c r="M9" i="67"/>
  <c r="F26" i="15"/>
  <c r="F26" i="82"/>
  <c r="M23" i="88"/>
  <c r="F26" i="87"/>
  <c r="F6" i="87"/>
  <c r="J15" i="15"/>
  <c r="F37" i="15"/>
  <c r="M28" i="15"/>
  <c r="M6" i="82"/>
  <c r="F36" i="82"/>
  <c r="M8" i="82"/>
  <c r="M22" i="15"/>
  <c r="D9" i="83"/>
  <c r="M26" i="15"/>
  <c r="M9" i="82"/>
  <c r="F16" i="67"/>
  <c r="J15" i="88"/>
  <c r="F38" i="87"/>
  <c r="M28" i="87"/>
  <c r="F16" i="82"/>
  <c r="F6" i="67"/>
  <c r="M23" i="15"/>
  <c r="F42" i="15"/>
  <c r="F38" i="82"/>
  <c r="D64" i="43" l="1"/>
  <c r="AZ19" i="3"/>
  <c r="M66" i="43"/>
  <c r="N66" i="43" s="1"/>
  <c r="K66" i="43"/>
  <c r="M63" i="43"/>
  <c r="N63" i="43" s="1"/>
  <c r="K63" i="43"/>
  <c r="M65" i="43"/>
  <c r="N65" i="43" s="1"/>
  <c r="K65" i="43"/>
  <c r="M62" i="43"/>
  <c r="N62" i="43" s="1"/>
  <c r="K62" i="43"/>
  <c r="M67" i="43"/>
  <c r="N67" i="43" s="1"/>
  <c r="K67" i="43"/>
  <c r="M69" i="43"/>
  <c r="N69" i="43" s="1"/>
  <c r="K69" i="43"/>
  <c r="M68" i="43"/>
  <c r="N68" i="43" s="1"/>
  <c r="K68" i="43"/>
  <c r="J68" i="43" s="1"/>
  <c r="D68" i="43" s="1"/>
  <c r="M61" i="43"/>
  <c r="N61" i="43" s="1"/>
  <c r="K61" i="43"/>
  <c r="J61" i="43" s="1"/>
  <c r="Q71" i="87"/>
  <c r="F64" i="87"/>
  <c r="F65" i="87"/>
  <c r="F66" i="87"/>
  <c r="C27" i="87"/>
  <c r="F51" i="87"/>
  <c r="F68" i="87"/>
  <c r="Q71" i="88"/>
  <c r="F65" i="88"/>
  <c r="C27" i="88"/>
  <c r="F51" i="88"/>
  <c r="F64" i="88"/>
  <c r="F68" i="88"/>
  <c r="M7" i="88"/>
  <c r="J6" i="88" s="1"/>
  <c r="J19" i="88" s="1"/>
  <c r="F50" i="88"/>
  <c r="F66" i="88"/>
  <c r="C6" i="88"/>
  <c r="C33" i="88" s="1"/>
  <c r="F71" i="88"/>
  <c r="L58" i="88"/>
  <c r="L58" i="87"/>
  <c r="G8" i="1"/>
  <c r="I54" i="87"/>
  <c r="L59" i="87"/>
  <c r="N59" i="87"/>
  <c r="J53" i="87"/>
  <c r="L56" i="87" s="1"/>
  <c r="J57" i="87"/>
  <c r="J55" i="87" s="1"/>
  <c r="J58" i="87" s="1"/>
  <c r="Q50" i="87" s="1"/>
  <c r="M59" i="87"/>
  <c r="C28" i="15"/>
  <c r="C28" i="87"/>
  <c r="C28" i="88"/>
  <c r="J57" i="88"/>
  <c r="J55" i="88" s="1"/>
  <c r="J58" i="88" s="1"/>
  <c r="Q50" i="88" s="1"/>
  <c r="L59" i="88"/>
  <c r="N59" i="88"/>
  <c r="J53" i="88"/>
  <c r="I54" i="88"/>
  <c r="M59" i="88"/>
  <c r="P27" i="86"/>
  <c r="P26" i="86"/>
  <c r="P25" i="86"/>
  <c r="P29" i="86"/>
  <c r="M24" i="86"/>
  <c r="P28" i="86"/>
  <c r="O23" i="86"/>
  <c r="C23" i="86"/>
  <c r="AZ15" i="3"/>
  <c r="M11" i="88"/>
  <c r="J10" i="88" s="1"/>
  <c r="F11" i="88"/>
  <c r="M11" i="87"/>
  <c r="J10" i="87" s="1"/>
  <c r="F11" i="87"/>
  <c r="U2" i="43"/>
  <c r="D1" i="43"/>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C16" i="88"/>
  <c r="F43" i="87"/>
  <c r="F7" i="87"/>
  <c r="C16" i="82"/>
  <c r="M29" i="87"/>
  <c r="J18" i="88" l="1"/>
  <c r="J5" i="88"/>
  <c r="J26" i="88" s="1"/>
  <c r="C32" i="88"/>
  <c r="J69" i="43"/>
  <c r="D69" i="43"/>
  <c r="J62" i="43"/>
  <c r="D62" i="43"/>
  <c r="J63" i="43"/>
  <c r="D63" i="43"/>
  <c r="J67" i="43"/>
  <c r="D67" i="43"/>
  <c r="J65" i="43"/>
  <c r="D65" i="43"/>
  <c r="J66" i="43"/>
  <c r="D66" i="43"/>
  <c r="C49" i="88"/>
  <c r="C61" i="88" s="1"/>
  <c r="F50" i="87"/>
  <c r="C49" i="87" s="1"/>
  <c r="C61" i="87" s="1"/>
  <c r="M7" i="87"/>
  <c r="J6" i="87" s="1"/>
  <c r="J5" i="87" s="1"/>
  <c r="C6" i="87"/>
  <c r="C10" i="87" s="1"/>
  <c r="C5" i="87" s="1"/>
  <c r="J5" i="82"/>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L56" i="88"/>
  <c r="F1" i="88"/>
  <c r="Q52" i="88"/>
  <c r="Q73" i="88"/>
  <c r="Q60" i="88"/>
  <c r="F71" i="87"/>
  <c r="C24" i="88"/>
  <c r="C53" i="88"/>
  <c r="C10" i="88"/>
  <c r="C5" i="88" s="1"/>
  <c r="L36" i="86"/>
  <c r="L37" i="86" s="1"/>
  <c r="F24" i="87"/>
  <c r="C53"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AE8" i="1"/>
  <c r="C16" i="87"/>
  <c r="F41" i="82"/>
  <c r="AE6" i="1"/>
  <c r="M27" i="67"/>
  <c r="M27" i="15"/>
  <c r="J24" i="88" l="1"/>
  <c r="J26" i="82"/>
  <c r="J29" i="82" s="1"/>
  <c r="C48" i="88"/>
  <c r="C60" i="88" s="1"/>
  <c r="E61" i="43"/>
  <c r="B59" i="43" s="1"/>
  <c r="C48" i="87"/>
  <c r="C66" i="87" s="1"/>
  <c r="J24" i="87"/>
  <c r="J26" i="87"/>
  <c r="C32" i="87"/>
  <c r="C33" i="87"/>
  <c r="J19" i="87"/>
  <c r="J18" i="87"/>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38"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67"/>
  <c r="F41" i="15"/>
  <c r="D10" i="83"/>
  <c r="F41" i="88"/>
  <c r="F41" i="87"/>
  <c r="C17" i="82"/>
  <c r="C60" i="87" l="1"/>
  <c r="J29" i="88"/>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F35" i="82"/>
  <c r="C34" i="83"/>
  <c r="C14" i="82"/>
  <c r="M21"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L51" i="82"/>
  <c r="D2" i="21"/>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6"/>
  <c r="D2" i="34"/>
  <c r="D19" i="85"/>
  <c r="D2" i="35"/>
  <c r="D2" i="37"/>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1" i="1"/>
  <c r="AO10" i="1"/>
  <c r="AO12" i="1"/>
  <c r="AO9"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E2" i="90" l="1"/>
  <c r="BQ5" i="3"/>
  <c r="F28" i="6" s="1"/>
  <c r="F30" i="6" l="1"/>
  <c r="E28" i="6"/>
  <c r="BC13" i="3"/>
  <c r="H13" i="3"/>
  <c r="K5" i="3"/>
  <c r="H5" i="3" l="1"/>
  <c r="G13" i="3"/>
  <c r="BC5" i="3"/>
  <c r="BA13" i="3"/>
  <c r="E30" i="6"/>
  <c r="K14" i="1"/>
  <c r="M14" i="1" s="1"/>
  <c r="I4" i="6"/>
  <c r="G3" i="43" s="1"/>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15"/>
  <c r="F7" i="67"/>
  <c r="F43" i="15"/>
  <c r="M29" i="67"/>
  <c r="F43" i="67"/>
  <c r="F7" i="15"/>
  <c r="B3" i="84" l="1"/>
  <c r="F31" i="6"/>
  <c r="F39" i="6"/>
  <c r="E39" i="6" s="1"/>
  <c r="E27" i="6"/>
  <c r="K20" i="6" s="1"/>
  <c r="M20" i="6" s="1"/>
  <c r="I20" i="6" s="1"/>
  <c r="S20" i="6" s="1"/>
  <c r="AC6" i="3"/>
  <c r="H6" i="3"/>
  <c r="F71" i="67"/>
  <c r="F50" i="15"/>
  <c r="C49" i="15" s="1"/>
  <c r="C6" i="15"/>
  <c r="M7" i="15"/>
  <c r="J6" i="15" s="1"/>
  <c r="C6" i="67"/>
  <c r="F50" i="67"/>
  <c r="C49" i="67" s="1"/>
  <c r="M7" i="67"/>
  <c r="J6" i="67" s="1"/>
  <c r="F71" i="15"/>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S7" i="1"/>
  <c r="C7" i="83"/>
  <c r="C5" i="83" s="1"/>
  <c r="C33" i="43"/>
  <c r="E65" i="39"/>
  <c r="F56" i="39"/>
  <c r="F65" i="39" s="1"/>
  <c r="B2" i="39" s="1"/>
  <c r="B3" i="39" s="1"/>
  <c r="C34" i="69"/>
  <c r="H16" i="1"/>
  <c r="M7" i="1"/>
  <c r="K16" i="1"/>
  <c r="B29" i="1" s="1"/>
  <c r="C8" i="68" s="1"/>
  <c r="G16" i="1"/>
  <c r="Q16" i="1"/>
  <c r="C17" i="67"/>
  <c r="C17" i="15"/>
  <c r="C16" i="67"/>
  <c r="C16" i="15"/>
  <c r="C14" i="67"/>
  <c r="K25" i="6" l="1"/>
  <c r="M25" i="6" s="1"/>
  <c r="I25" i="6" s="1"/>
  <c r="S25" i="6" s="1"/>
  <c r="K26" i="6"/>
  <c r="M26" i="6" s="1"/>
  <c r="I26" i="6" s="1"/>
  <c r="S26" i="6" s="1"/>
  <c r="K23" i="6"/>
  <c r="M23" i="6" s="1"/>
  <c r="I23" i="6" s="1"/>
  <c r="S23" i="6" s="1"/>
  <c r="E31" i="6"/>
  <c r="K19" i="6"/>
  <c r="K24" i="6"/>
  <c r="M24" i="6" s="1"/>
  <c r="I24" i="6" s="1"/>
  <c r="S24" i="6" s="1"/>
  <c r="E6" i="3"/>
  <c r="K22" i="6"/>
  <c r="M22" i="6" s="1"/>
  <c r="I22" i="6" s="1"/>
  <c r="S22" i="6" s="1"/>
  <c r="K21" i="6"/>
  <c r="M21" i="6" s="1"/>
  <c r="I21" i="6" s="1"/>
  <c r="C15" i="67"/>
  <c r="C18" i="67"/>
  <c r="C23" i="83"/>
  <c r="C22" i="83" s="1"/>
  <c r="C20" i="83"/>
  <c r="C25" i="83" s="1"/>
  <c r="T7" i="1"/>
  <c r="AR7" i="1"/>
  <c r="AQ7" i="1"/>
  <c r="C14" i="12"/>
  <c r="C16" i="12" s="1"/>
  <c r="D17" i="12"/>
  <c r="C17" i="12" s="1"/>
  <c r="S8" i="1"/>
  <c r="J18" i="15"/>
  <c r="J19" i="15"/>
  <c r="J5" i="15"/>
  <c r="F27" i="68"/>
  <c r="F27" i="69"/>
  <c r="F27" i="11"/>
  <c r="F28" i="12"/>
  <c r="C29" i="12" s="1"/>
  <c r="D28" i="12" s="1"/>
  <c r="H10" i="40"/>
  <c r="H10" i="39"/>
  <c r="F10" i="40"/>
  <c r="F10" i="39"/>
  <c r="J10" i="40"/>
  <c r="J10" i="39"/>
  <c r="E33" i="43"/>
  <c r="C30" i="43" s="1"/>
  <c r="C6" i="69"/>
  <c r="C34" i="43"/>
  <c r="E34" i="43" s="1"/>
  <c r="C31" i="43" s="1"/>
  <c r="D29" i="6"/>
  <c r="D12" i="6"/>
  <c r="E61" i="40"/>
  <c r="F61" i="40" s="1"/>
  <c r="B2" i="40" s="1"/>
  <c r="B3" i="40" s="1"/>
  <c r="D6" i="6"/>
  <c r="D9" i="6"/>
  <c r="H26" i="6"/>
  <c r="H25" i="6"/>
  <c r="D13" i="6"/>
  <c r="D5" i="6"/>
  <c r="D11" i="6"/>
  <c r="L19" i="9"/>
  <c r="D14" i="6"/>
  <c r="H20" i="6"/>
  <c r="D15" i="6"/>
  <c r="D10" i="6"/>
  <c r="D21" i="6"/>
  <c r="D20" i="6"/>
  <c r="D8" i="6"/>
  <c r="D19" i="6"/>
  <c r="M19" i="9"/>
  <c r="C118" i="9" s="1"/>
  <c r="C18" i="4"/>
  <c r="D26" i="6"/>
  <c r="D24" i="6"/>
  <c r="D28" i="6"/>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S6" i="1"/>
  <c r="C48" i="67"/>
  <c r="C61" i="67"/>
  <c r="C48" i="15"/>
  <c r="C61" i="15"/>
  <c r="C20" i="11"/>
  <c r="C25" i="11" s="1"/>
  <c r="C24" i="11"/>
  <c r="C10" i="67"/>
  <c r="C5" i="67" s="1"/>
  <c r="C32" i="67"/>
  <c r="C33" i="67"/>
  <c r="C17" i="88"/>
  <c r="F35" i="67"/>
  <c r="E6" i="76"/>
  <c r="C17" i="87"/>
  <c r="M21" i="15"/>
  <c r="C14" i="15"/>
  <c r="M21" i="67"/>
  <c r="F35" i="15"/>
  <c r="R20" i="6" l="1"/>
  <c r="R7" i="1" s="1"/>
  <c r="K27" i="6"/>
  <c r="D30" i="6"/>
  <c r="H23" i="6"/>
  <c r="R23" i="6" s="1"/>
  <c r="M19" i="6"/>
  <c r="I19" i="6" s="1"/>
  <c r="H24" i="6"/>
  <c r="R24" i="6" s="1"/>
  <c r="S21" i="6"/>
  <c r="H21" i="6"/>
  <c r="R21" i="6" s="1"/>
  <c r="R8" i="1" s="1"/>
  <c r="H22" i="6"/>
  <c r="C19" i="67"/>
  <c r="C20" i="67" s="1"/>
  <c r="C28" i="11"/>
  <c r="C27" i="11" s="1"/>
  <c r="C22" i="11"/>
  <c r="R22" i="6"/>
  <c r="C18" i="15"/>
  <c r="C15" i="15"/>
  <c r="J20" i="15"/>
  <c r="J17" i="15" s="1"/>
  <c r="J20" i="67"/>
  <c r="J17" i="67" s="1"/>
  <c r="C34" i="15"/>
  <c r="C31" i="15" s="1"/>
  <c r="F63" i="15"/>
  <c r="C62" i="15" s="1"/>
  <c r="C34" i="67"/>
  <c r="C31" i="67" s="1"/>
  <c r="F63" i="67"/>
  <c r="C62" i="67" s="1"/>
  <c r="F50" i="68"/>
  <c r="F50" i="69"/>
  <c r="F50" i="11"/>
  <c r="F50" i="83"/>
  <c r="C51" i="83" s="1"/>
  <c r="C38" i="67"/>
  <c r="C66" i="67"/>
  <c r="C60" i="67"/>
  <c r="C10" i="68"/>
  <c r="D19" i="68"/>
  <c r="D37" i="68" s="1"/>
  <c r="C37" i="68" s="1"/>
  <c r="A10" i="51"/>
  <c r="B9" i="72" s="1"/>
  <c r="A7" i="51"/>
  <c r="B7" i="72" s="1"/>
  <c r="C4" i="52"/>
  <c r="B45" i="72" s="1"/>
  <c r="B2" i="43"/>
  <c r="L50" i="87" s="1"/>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7"/>
  <c r="B6" i="76"/>
  <c r="C14" i="88"/>
  <c r="F35" i="88"/>
  <c r="M21" i="88"/>
  <c r="M27" i="6" l="1"/>
  <c r="C31" i="1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C20" i="69" l="1"/>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56" i="83"/>
  <c r="H27" i="6"/>
  <c r="R19" i="6"/>
  <c r="C23" i="15"/>
  <c r="C29" i="15" s="1"/>
  <c r="F11" i="40"/>
  <c r="H11" i="40"/>
  <c r="J11" i="40"/>
  <c r="J26" i="86"/>
  <c r="G26" i="86"/>
  <c r="Z7" i="86"/>
  <c r="F26" i="86"/>
  <c r="H26" i="86"/>
  <c r="E26" i="86"/>
  <c r="B116" i="86"/>
  <c r="D34" i="85"/>
  <c r="C20" i="85"/>
  <c r="D35"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M21" i="87"/>
  <c r="F35" i="87"/>
  <c r="C46" i="68" l="1"/>
  <c r="C45" i="68" s="1"/>
  <c r="C46" i="11"/>
  <c r="C45" i="11" s="1"/>
  <c r="C41" i="68"/>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U25" i="1" s="1"/>
  <c r="W25" i="1" s="1"/>
  <c r="W26" i="1" s="1"/>
  <c r="L51" i="15"/>
  <c r="C49" i="68" l="1"/>
  <c r="C51" i="68" s="1"/>
  <c r="C45" i="67"/>
  <c r="C46" i="67"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67" i="15"/>
  <c r="Q70" i="87"/>
  <c r="C37" i="87"/>
  <c r="C30" i="87" s="1"/>
  <c r="C39" i="87" s="1"/>
  <c r="I39" i="87" s="1"/>
  <c r="C75" i="87"/>
  <c r="C56" i="87"/>
  <c r="C65" i="87" s="1"/>
  <c r="C58" i="87" s="1"/>
  <c r="C67" i="87" s="1"/>
  <c r="C68" i="87" s="1"/>
  <c r="Q48"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40" i="15"/>
  <c r="Q69" i="15"/>
  <c r="Q68" i="15" s="1"/>
  <c r="C71" i="15"/>
  <c r="J22" i="88"/>
  <c r="J13" i="88"/>
  <c r="J23" i="88" s="1"/>
  <c r="L51" i="67"/>
  <c r="E7" i="76"/>
  <c r="B2" i="67" l="1"/>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L51" i="87"/>
  <c r="L51" i="88"/>
  <c r="B7" i="76"/>
  <c r="AO7" i="1"/>
  <c r="L57" i="87" l="1"/>
  <c r="L60" i="87" s="1"/>
  <c r="Q66" i="87" s="1"/>
  <c r="Q67" i="87"/>
  <c r="Q67" i="88"/>
  <c r="E118" i="85"/>
  <c r="D118" i="85" s="1"/>
  <c r="D119" i="85" s="1"/>
  <c r="H119" i="85"/>
  <c r="C104" i="85"/>
  <c r="H101" i="85"/>
  <c r="B7" i="70"/>
  <c r="B2" i="76"/>
  <c r="B3" i="76" s="1"/>
  <c r="B3" i="15"/>
  <c r="B3" i="86"/>
  <c r="B2" i="88"/>
  <c r="C43" i="88"/>
  <c r="Q47" i="88"/>
  <c r="Q53" i="88" s="1"/>
  <c r="Q65" i="88"/>
  <c r="Q75" i="88" s="1"/>
  <c r="Q56" i="88"/>
  <c r="Q62" i="88" s="1"/>
  <c r="C83" i="88"/>
  <c r="C82" i="88" s="1"/>
  <c r="C43" i="87"/>
  <c r="Q65" i="87"/>
  <c r="Q47" i="87"/>
  <c r="Q53" i="87" s="1"/>
  <c r="Q56" i="87"/>
  <c r="C83" i="87"/>
  <c r="C82" i="87" s="1"/>
  <c r="C46" i="88"/>
  <c r="C46" i="87"/>
  <c r="AO8" i="1"/>
  <c r="L46" i="87" l="1"/>
  <c r="B2" i="87" s="1"/>
  <c r="B3" i="87" s="1"/>
  <c r="Q57" i="87"/>
  <c r="Q62" i="87" s="1"/>
  <c r="Q75" i="87"/>
  <c r="M48" i="85"/>
  <c r="H107" i="85"/>
  <c r="D45" i="85"/>
  <c r="B8" i="70"/>
  <c r="B3" i="88"/>
  <c r="C7" i="68"/>
  <c r="C5" i="68" s="1"/>
  <c r="AO6" i="1"/>
  <c r="B6" i="70" l="1"/>
  <c r="M49" i="85"/>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<sst xmlns="http://schemas.openxmlformats.org/spreadsheetml/2006/main" count="10481" uniqueCount="3504">
  <si>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</si>
  <si>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</si>
  <si>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</si>
  <si>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</si>
  <si>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</si>
  <si>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</si>
  <si>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</si>
  <si>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</si>
  <si>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</si>
  <si>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</si>
  <si>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</si>
  <si>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</si>
  <si>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</si>
  <si>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</si>
  <si>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</si>
  <si>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</si>
  <si>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</si>
  <si>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</si>
  <si>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</si>
  <si>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</si>
  <si>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</si>
  <si>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</si>
  <si>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</si>
  <si>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</si>
  <si>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</si>
  <si>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</si>
  <si>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</si>
  <si>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</si>
  <si>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</si>
  <si>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</si>
  <si>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</si>
  <si>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</si>
  <si>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</si>
  <si>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</si>
  <si>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</si>
  <si>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</si>
  <si>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</si>
  <si>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</si>
  <si>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</si>
  <si>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</si>
  <si>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</si>
  <si>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</si>
  <si>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</si>
  <si>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</si>
  <si>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</si>
  <si>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</si>
  <si>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</si>
  <si>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</si>
  <si>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</si>
  <si>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</si>
  <si>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</si>
  <si>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</si>
  <si>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</si>
  <si>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</si>
  <si>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</si>
  <si>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</si>
  <si>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</si>
  <si>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</si>
  <si>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</si>
  <si>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</si>
  <si>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</si>
  <si>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</si>
  <si>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</si>
  <si>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</si>
  <si>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</si>
  <si>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</si>
  <si>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</si>
  <si>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</si>
  <si>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</si>
  <si>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</si>
  <si>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</si>
  <si>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</si>
  <si>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</si>
  <si>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</si>
  <si>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</si>
  <si>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</si>
  <si>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</si>
  <si>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</si>
  <si>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</si>
  <si>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</si>
  <si>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</si>
  <si>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</si>
  <si>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</si>
  <si>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</si>
  <si>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</si>
  <si>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</si>
  <si>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</si>
  <si>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</si>
  <si>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</si>
  <si>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</si>
  <si>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</si>
  <si>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</si>
  <si>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</si>
  <si>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</si>
  <si>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</si>
  <si>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</si>
  <si>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</si>
  <si>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</si>
  <si>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</si>
  <si>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</si>
  <si>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</si>
  <si>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</si>
  <si>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</si>
  <si>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</si>
  <si>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</si>
  <si>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</si>
  <si>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</si>
  <si>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</si>
  <si>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</si>
  <si>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</si>
  <si>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</si>
  <si>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</si>
  <si>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</si>
  <si>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</si>
  <si>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</si>
  <si>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</si>
  <si>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</si>
  <si>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</si>
  <si>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</si>
  <si>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</si>
  <si>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</si>
  <si>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</si>
  <si>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</si>
  <si>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</si>
  <si>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</si>
  <si>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</si>
  <si>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</si>
  <si>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</si>
  <si>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</si>
  <si>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</si>
  <si>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</si>
  <si>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</si>
  <si>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</si>
  <si>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</si>
  <si>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</si>
  <si>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</si>
  <si>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</si>
  <si>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</si>
  <si>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</si>
  <si>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</si>
  <si>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</si>
  <si>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</si>
  <si>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</si>
  <si>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</si>
  <si>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</si>
  <si>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</si>
  <si>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</si>
  <si>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</si>
  <si>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</si>
  <si>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</si>
  <si>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</si>
  <si>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</si>
  <si>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</si>
  <si>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</si>
  <si>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</si>
  <si>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</si>
  <si>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</si>
  <si>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</si>
  <si>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</si>
  <si>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</si>
  <si>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</si>
  <si>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</si>
  <si>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</si>
  <si>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</si>
  <si>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</si>
  <si>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</si>
  <si>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</si>
  <si>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</si>
  <si>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</si>
  <si>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</si>
  <si>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</si>
  <si>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</si>
  <si>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</si>
  <si>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</si>
  <si>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</si>
  <si>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</si>
  <si>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</si>
  <si>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</si>
  <si>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</si>
  <si>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</si>
  <si>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</si>
  <si>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</si>
  <si>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</si>
  <si>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</si>
  <si>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</si>
  <si>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</si>
  <si>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</si>
  <si>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</si>
  <si>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</si>
  <si>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</si>
  <si>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</si>
  <si>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</si>
  <si>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</si>
  <si>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</si>
  <si>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</si>
  <si>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</si>
  <si>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</si>
  <si>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</si>
  <si>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</si>
  <si>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</si>
  <si>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</si>
  <si>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</si>
  <si>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</si>
  <si>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</si>
  <si>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</si>
  <si>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</si>
  <si>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</si>
  <si>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</si>
  <si>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</si>
  <si>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</si>
  <si>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</si>
  <si>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</si>
  <si>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</si>
  <si>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</si>
  <si>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</si>
  <si>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</si>
  <si>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</si>
  <si>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</si>
  <si>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</si>
  <si>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</si>
  <si>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</si>
  <si>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</si>
  <si>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</si>
  <si>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</si>
  <si>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</si>
  <si>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</si>
  <si>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</si>
  <si>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</si>
  <si>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</si>
  <si>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</si>
  <si>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</si>
  <si>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</si>
  <si>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</si>
  <si>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</si>
  <si>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</si>
  <si>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</si>
  <si>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</si>
  <si>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</si>
  <si>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</si>
  <si>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</si>
  <si>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</si>
  <si>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</si>
  <si>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</si>
  <si>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</si>
  <si>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</si>
  <si>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</si>
  <si>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</si>
  <si>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</si>
  <si>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</si>
  <si>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</si>
  <si>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</si>
  <si>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</si>
  <si>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</si>
  <si>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</si>
  <si>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</si>
  <si>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</si>
  <si>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</si>
  <si>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</si>
  <si>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</si>
  <si>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</si>
  <si>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</si>
  <si>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</si>
  <si>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</si>
  <si>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</si>
  <si>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</si>
  <si>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</si>
  <si>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</si>
  <si>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</si>
  <si>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</si>
  <si>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</si>
  <si>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</si>
  <si>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</si>
  <si>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</si>
  <si>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</si>
  <si>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</si>
  <si>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</si>
  <si>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</si>
  <si>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</si>
  <si>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</si>
  <si>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</si>
  <si>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</si>
  <si>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</si>
  <si>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</si>
  <si>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</si>
  <si>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</si>
  <si>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</si>
  <si>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</si>
  <si>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</si>
  <si>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</si>
  <si>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</si>
  <si>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</si>
  <si>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</si>
  <si>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</si>
  <si>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</si>
  <si>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</si>
  <si>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</si>
  <si>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</si>
  <si>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</si>
  <si>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</si>
  <si>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</si>
  <si>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</si>
  <si>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</si>
  <si>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</si>
  <si>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</si>
  <si>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</si>
  <si>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</si>
  <si>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</si>
  <si>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</si>
  <si>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</si>
  <si>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</si>
  <si>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</si>
  <si>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</si>
  <si>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</si>
  <si>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</si>
  <si>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</si>
  <si>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</si>
  <si>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</si>
  <si>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</si>
  <si>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</si>
  <si>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</si>
  <si>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</si>
  <si>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</si>
  <si>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</si>
  <si>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</si>
  <si>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</si>
  <si>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</si>
  <si>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</si>
  <si>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</si>
  <si>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</si>
  <si>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</si>
  <si>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</si>
  <si>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</si>
  <si>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</si>
  <si>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</si>
  <si>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</si>
  <si>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</si>
  <si>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</si>
  <si>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</si>
  <si>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</si>
  <si>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</si>
  <si>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</si>
  <si>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</si>
  <si>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</si>
  <si>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</si>
  <si>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</si>
  <si>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</si>
  <si>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</si>
  <si>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</si>
  <si>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</si>
  <si>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</si>
  <si>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</si>
  <si>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</si>
  <si>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</si>
  <si>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</si>
  <si>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</si>
  <si>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</si>
  <si>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</si>
  <si>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</si>
  <si>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</si>
  <si>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</si>
  <si>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</si>
  <si>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</si>
  <si>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</si>
  <si>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</si>
  <si>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</si>
  <si>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</si>
  <si>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</si>
  <si>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</si>
  <si>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</si>
  <si>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</si>
  <si>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</si>
  <si>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</si>
  <si>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</si>
  <si>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</si>
  <si>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</si>
  <si>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</si>
  <si>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</si>
  <si>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</si>
  <si>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</si>
  <si>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</si>
  <si>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</si>
  <si>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</si>
  <si>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</si>
  <si>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</si>
  <si>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</si>
  <si>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</si>
  <si>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</si>
  <si>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</si>
  <si>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</si>
  <si>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</si>
  <si>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</si>
  <si>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</si>
  <si>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</si>
  <si>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</si>
  <si>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</si>
  <si>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</si>
  <si>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</si>
  <si>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</si>
  <si>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</si>
  <si>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</si>
  <si>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</si>
  <si>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</si>
  <si>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</si>
  <si>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</si>
  <si>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</si>
  <si>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</si>
  <si>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</si>
  <si>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</si>
  <si>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</si>
  <si>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</si>
  <si>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</si>
  <si>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</si>
  <si>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</si>
  <si>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</si>
  <si>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</si>
  <si>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</si>
  <si>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</si>
  <si>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</si>
  <si>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</si>
  <si>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</si>
  <si>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</si>
  <si>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</si>
  <si>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</si>
  <si>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</si>
  <si>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</si>
  <si>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</si>
  <si>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</si>
  <si>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</si>
  <si>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</si>
  <si>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</si>
  <si>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</si>
  <si>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</si>
  <si>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</si>
  <si>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</si>
  <si>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</si>
  <si>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</si>
  <si>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</si>
  <si>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</si>
  <si>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</si>
  <si>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</si>
  <si>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</si>
  <si>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</si>
  <si>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</si>
  <si>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</si>
  <si>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</si>
  <si>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</si>
  <si>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</si>
  <si>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</si>
  <si>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</si>
  <si>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</si>
  <si>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</si>
  <si>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</si>
  <si>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</si>
  <si>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</si>
  <si>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</si>
  <si>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</si>
  <si>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</si>
  <si>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</si>
  <si>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</si>
  <si>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</si>
  <si>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</si>
  <si>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</si>
  <si>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</si>
  <si>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</si>
  <si>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</si>
  <si>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</si>
  <si>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</si>
  <si>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</si>
  <si>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</si>
  <si>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</si>
  <si>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</si>
  <si>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</si>
  <si>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</si>
  <si>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</si>
  <si>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</si>
  <si>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</si>
  <si>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</si>
  <si>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</si>
  <si>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</si>
  <si>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</si>
  <si>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</si>
  <si>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</si>
  <si>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</si>
  <si>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</si>
  <si>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</si>
  <si>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</si>
  <si>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</si>
  <si>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</si>
  <si>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</si>
  <si>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</si>
  <si>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</si>
  <si>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</si>
  <si>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</si>
  <si>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</si>
  <si>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</si>
  <si>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</si>
  <si>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</si>
  <si>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</si>
  <si>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</si>
  <si>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</si>
  <si>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</si>
  <si>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</si>
  <si>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</si>
  <si>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</si>
  <si>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</si>
  <si>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</si>
  <si>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</si>
  <si>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</si>
  <si>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</si>
  <si>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</si>
  <si>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</si>
  <si>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</si>
  <si>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</si>
  <si>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</si>
  <si>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</si>
  <si>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</si>
  <si>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</si>
  <si>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</si>
  <si>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</si>
  <si>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</si>
  <si>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</si>
  <si>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</si>
  <si>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</si>
  <si>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</si>
  <si>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</si>
  <si>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</si>
  <si>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</si>
  <si>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</si>
  <si>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</si>
  <si>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</si>
  <si>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</si>
  <si>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</si>
  <si>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</si>
  <si>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</si>
  <si>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</si>
  <si>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</si>
  <si>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</si>
  <si>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</si>
  <si>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</si>
  <si>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</si>
  <si>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</si>
  <si>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</si>
  <si>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</si>
  <si>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</si>
  <si>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</si>
  <si>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</si>
  <si>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</si>
  <si>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</si>
  <si>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</si>
  <si>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</si>
  <si>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</si>
  <si>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</si>
  <si>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</si>
  <si>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</si>
  <si>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</si>
  <si>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</si>
  <si>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</si>
  <si>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</si>
  <si>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</si>
  <si>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</si>
  <si>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</si>
  <si>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</si>
  <si>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</si>
  <si>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</si>
  <si>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</si>
  <si>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</si>
  <si>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</si>
  <si>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</si>
  <si>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</si>
  <si>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</si>
  <si>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</si>
  <si>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</si>
  <si>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</si>
  <si>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</si>
  <si>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</si>
  <si>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</si>
  <si>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</si>
  <si>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</si>
  <si>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</si>
  <si>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</si>
  <si>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</si>
  <si>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</si>
  <si>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</si>
  <si>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</si>
  <si>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</si>
  <si>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</si>
  <si>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</si>
  <si>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</si>
  <si>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</si>
  <si>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</si>
  <si>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</si>
  <si>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</si>
  <si>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</si>
  <si>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</si>
  <si>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</si>
  <si>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</si>
  <si>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</si>
  <si>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</si>
  <si>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</si>
  <si>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</si>
  <si>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</si>
  <si>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</si>
  <si>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</si>
  <si>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</si>
  <si>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</si>
  <si>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</si>
  <si>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</si>
  <si>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</si>
  <si>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</si>
  <si>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</si>
  <si>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</si>
  <si>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</si>
  <si>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</si>
  <si>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</si>
  <si>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</si>
  <si>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</si>
  <si>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</si>
  <si>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</si>
  <si>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</si>
  <si>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</si>
  <si>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</si>
  <si>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</si>
  <si>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</si>
  <si>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</si>
  <si>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</si>
  <si>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</si>
  <si>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</si>
  <si>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</si>
  <si>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</si>
  <si>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</si>
  <si>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</si>
  <si>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</si>
  <si>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</si>
  <si>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</si>
  <si>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</si>
  <si>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</si>
  <si>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</si>
  <si>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</si>
  <si>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</si>
  <si>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</si>
  <si>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</si>
  <si>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</si>
  <si>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</si>
  <si>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</si>
  <si>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</si>
  <si>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</si>
  <si>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</si>
  <si>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</si>
  <si>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</si>
  <si>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</si>
  <si>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</si>
  <si>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</si>
  <si>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</si>
  <si>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</si>
  <si>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</si>
  <si>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</si>
  <si>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</si>
  <si>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</si>
  <si>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</si>
  <si>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</si>
  <si>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</si>
  <si>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</si>
  <si>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</si>
  <si>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</si>
  <si>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</si>
  <si>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</si>
  <si>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</si>
  <si>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</si>
  <si>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</si>
  <si>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</si>
  <si>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</si>
  <si>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</si>
  <si>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</si>
  <si>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</si>
  <si>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</si>
  <si>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</si>
  <si>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</si>
  <si>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</si>
  <si>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</si>
  <si>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</si>
  <si>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</si>
  <si>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</si>
  <si>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</si>
  <si>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</si>
  <si>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</si>
  <si>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</si>
  <si>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</si>
  <si>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</si>
  <si>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</si>
  <si>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</si>
  <si>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</si>
  <si>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</si>
  <si>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</si>
  <si>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</si>
  <si>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</si>
  <si>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</si>
  <si>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</si>
  <si>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</si>
  <si>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</si>
  <si>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</si>
  <si>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</si>
  <si>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</si>
  <si>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</si>
  <si>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</si>
  <si>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</si>
  <si>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</si>
  <si>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</si>
  <si>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</si>
  <si>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</si>
  <si>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</si>
  <si>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</si>
  <si>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</si>
  <si>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</si>
  <si>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</si>
  <si>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</si>
  <si>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</si>
  <si>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</si>
  <si>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</si>
  <si>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</si>
  <si>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</si>
  <si>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</si>
  <si>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</si>
  <si>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</si>
  <si>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</si>
  <si>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</si>
  <si>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</si>
  <si>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</si>
  <si>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</si>
  <si>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</si>
  <si>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</si>
  <si>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</si>
  <si>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</si>
  <si>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</si>
  <si>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</si>
  <si>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</si>
  <si>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</si>
  <si>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</si>
  <si>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</si>
  <si>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</si>
  <si>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</si>
  <si>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</si>
  <si>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</si>
  <si>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</si>
  <si>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</si>
  <si>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</si>
  <si>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</si>
  <si>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</si>
  <si>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</si>
  <si>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</si>
  <si>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</si>
  <si>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</si>
  <si>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</si>
  <si>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</si>
  <si>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</si>
  <si>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</si>
  <si>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</si>
  <si>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</si>
  <si>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</si>
  <si>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</si>
  <si>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</si>
  <si>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</si>
  <si>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</si>
  <si>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</si>
  <si>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</si>
  <si>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</si>
  <si>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</si>
  <si>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</si>
  <si>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</si>
  <si>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</si>
  <si>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</si>
  <si>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</si>
  <si>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</si>
  <si>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</si>
  <si>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</si>
  <si>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</si>
  <si>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</si>
  <si>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</si>
  <si>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</si>
  <si>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</si>
  <si>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</si>
  <si>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</si>
  <si>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</si>
  <si>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</si>
  <si>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</si>
  <si>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</si>
  <si>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</si>
  <si>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</si>
  <si>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</si>
  <si>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</si>
  <si>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</si>
  <si>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</si>
  <si>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</si>
  <si>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</si>
  <si>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</si>
  <si>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</si>
  <si>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</si>
  <si>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</si>
  <si>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</si>
  <si>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</si>
  <si>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</si>
  <si>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</si>
  <si>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</si>
  <si>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</si>
  <si>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</si>
  <si>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</si>
  <si>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</si>
  <si>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</si>
  <si>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</si>
  <si>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</si>
  <si>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</si>
  <si>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</si>
  <si>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</si>
  <si>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</si>
  <si>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</si>
  <si>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</si>
  <si>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</si>
  <si>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</si>
  <si>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</si>
  <si>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</si>
  <si>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</si>
  <si>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</si>
  <si>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</si>
  <si>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</si>
  <si>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</si>
  <si>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</si>
  <si>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</si>
  <si>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</si>
  <si>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</si>
  <si>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</si>
  <si>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</si>
  <si>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</si>
  <si>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</si>
  <si>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</si>
  <si>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</si>
  <si>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</si>
  <si>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</si>
  <si>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</si>
  <si>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</si>
  <si>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</si>
  <si>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</si>
  <si>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</si>
  <si>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</si>
  <si>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</si>
  <si>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</si>
  <si>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</si>
  <si>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</si>
  <si>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</si>
  <si>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</si>
  <si>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</si>
  <si>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</si>
  <si>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</si>
  <si>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</si>
  <si>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</si>
  <si>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</si>
  <si>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</si>
  <si>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</si>
  <si>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</si>
  <si>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</si>
  <si>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</si>
  <si>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</si>
  <si>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</si>
  <si>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</si>
  <si>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</si>
  <si>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</si>
  <si>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</si>
  <si>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</si>
  <si>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</si>
  <si>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</si>
  <si>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</si>
  <si>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</si>
  <si>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</si>
  <si>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</si>
  <si>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</si>
  <si>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</si>
  <si>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</si>
  <si>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</si>
  <si>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</si>
  <si>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</si>
  <si>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</si>
  <si>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</si>
  <si>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</si>
  <si>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</si>
  <si>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</si>
  <si>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</si>
  <si>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</si>
  <si>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</si>
  <si>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</si>
  <si>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</si>
  <si>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</si>
  <si>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</si>
  <si>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</si>
  <si>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</si>
  <si>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</si>
  <si>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</si>
  <si>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</si>
  <si>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</si>
  <si>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</si>
  <si>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</si>
  <si>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</si>
  <si>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</si>
  <si>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</si>
  <si>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</si>
  <si>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</si>
  <si>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</si>
  <si>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</si>
  <si>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</si>
  <si>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</si>
  <si>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</si>
  <si>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</si>
  <si>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</si>
  <si>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</si>
  <si>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</si>
  <si>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</si>
  <si>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</si>
  <si>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</si>
  <si>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</si>
  <si>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</si>
  <si>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</si>
  <si>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</si>
  <si>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</si>
  <si>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</si>
  <si>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</si>
  <si>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</si>
  <si>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</si>
  <si>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</si>
  <si>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</si>
  <si>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</si>
  <si>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</si>
  <si>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</si>
  <si>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</si>
  <si>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</si>
  <si>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</si>
  <si>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</si>
  <si>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</si>
  <si>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</si>
  <si>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</si>
  <si>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</si>
  <si>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</si>
  <si>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</si>
  <si>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</si>
  <si>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</si>
  <si>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</si>
  <si>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</si>
  <si>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</si>
  <si>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</si>
  <si>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</si>
  <si>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</si>
  <si>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</si>
  <si>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</si>
  <si>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</si>
  <si>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</si>
  <si>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</si>
  <si>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</si>
  <si>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</si>
  <si>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</si>
  <si>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</si>
  <si>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</si>
  <si>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</si>
  <si>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</si>
  <si>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</si>
  <si>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</si>
  <si>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</si>
  <si>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</si>
  <si>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</si>
  <si>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</si>
  <si>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</si>
  <si>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</si>
  <si>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</si>
  <si>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</si>
  <si>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</si>
  <si>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</si>
  <si>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</si>
  <si>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</si>
  <si>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</si>
  <si>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</si>
  <si>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</si>
  <si>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</si>
  <si>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</si>
  <si>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</si>
  <si>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</si>
  <si>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</si>
  <si>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</si>
  <si>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</si>
  <si>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</si>
  <si>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</si>
  <si>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</si>
  <si>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</si>
  <si>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</si>
  <si>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</si>
  <si>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</si>
  <si>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</si>
  <si>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</si>
  <si>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</si>
  <si>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</si>
  <si>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</si>
  <si>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</si>
  <si>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</si>
  <si>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</si>
  <si>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</si>
  <si>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</si>
  <si>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</si>
  <si>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</si>
  <si>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</si>
  <si>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</si>
  <si>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</si>
  <si>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</si>
  <si>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</si>
  <si>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</si>
  <si>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</si>
  <si>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</si>
  <si>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</si>
  <si>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</si>
  <si>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</si>
  <si>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</si>
  <si>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</si>
  <si>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</si>
  <si>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</si>
  <si>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</si>
  <si>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</si>
  <si>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</si>
  <si>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</si>
  <si>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</si>
  <si>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</si>
  <si>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</si>
  <si>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</si>
  <si>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</si>
  <si>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</si>
  <si>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</si>
  <si>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</si>
  <si>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</si>
  <si>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</si>
  <si>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</si>
  <si>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</si>
  <si>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</si>
  <si>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</si>
  <si>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</si>
  <si>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</si>
  <si>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</si>
  <si>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</si>
  <si>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</si>
  <si>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</si>
  <si>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</si>
  <si>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</si>
  <si>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</si>
  <si>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</si>
  <si>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</si>
  <si>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</si>
  <si>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</si>
  <si>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</si>
  <si>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</si>
  <si>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</si>
  <si>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</si>
  <si>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</si>
  <si>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</si>
  <si>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</si>
  <si>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</si>
  <si>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</si>
  <si>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</si>
  <si>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</si>
  <si>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</si>
  <si>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</si>
  <si>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</si>
  <si>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</si>
  <si>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</si>
  <si>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</si>
  <si>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</si>
  <si>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</si>
  <si>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</si>
  <si>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</si>
  <si>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</si>
  <si>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</si>
  <si>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</si>
  <si>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</si>
  <si>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</si>
  <si>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</si>
  <si>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</si>
  <si>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</si>
  <si>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</si>
  <si>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</si>
  <si>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</si>
  <si>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</si>
  <si>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</si>
  <si>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</si>
  <si>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</si>
  <si>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</si>
  <si>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</si>
  <si>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</si>
  <si>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</si>
  <si>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</si>
  <si>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</si>
  <si>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</si>
  <si>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</si>
  <si>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</si>
  <si>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</si>
  <si>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</si>
  <si>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</si>
  <si>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</si>
  <si>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</si>
  <si>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</si>
  <si>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</si>
  <si>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</si>
  <si>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</si>
  <si>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</si>
  <si>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</si>
  <si>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</si>
  <si>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</si>
  <si>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</si>
  <si>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</si>
  <si>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</si>
  <si>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</si>
  <si>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</si>
  <si>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</si>
  <si>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</si>
  <si>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</si>
  <si>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</si>
  <si>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</si>
  <si>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</si>
  <si>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</si>
  <si>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</si>
  <si>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</si>
  <si>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</si>
  <si>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</si>
  <si>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</si>
  <si>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</si>
  <si>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</si>
  <si>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</si>
  <si>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</si>
  <si>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</si>
  <si>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</si>
  <si>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</si>
  <si>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</si>
  <si>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</si>
  <si>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</si>
  <si>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</si>
  <si>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</si>
  <si>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</si>
  <si>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</si>
  <si>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</si>
  <si>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</si>
  <si>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</si>
  <si>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</si>
  <si>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</si>
  <si>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</si>
  <si>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</si>
  <si>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</si>
  <si>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</si>
  <si>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</si>
  <si>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</si>
  <si>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</si>
  <si>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</si>
  <si>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</si>
  <si>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</si>
  <si>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</si>
  <si>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</si>
  <si>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</si>
  <si>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</si>
  <si>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</si>
  <si>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</si>
  <si>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</si>
  <si>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</si>
  <si>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</si>
  <si>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</si>
  <si>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</si>
  <si>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</si>
  <si>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</si>
  <si>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</si>
  <si>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</si>
  <si>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</si>
  <si>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</si>
  <si>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</si>
  <si>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</si>
  <si>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</si>
  <si>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</si>
  <si>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</si>
  <si>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</si>
  <si>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</si>
  <si>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</si>
  <si>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</si>
  <si>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</si>
  <si>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</si>
  <si>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</si>
  <si>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</si>
  <si>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</si>
  <si>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</si>
  <si>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</si>
  <si>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</si>
  <si>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</si>
  <si>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</si>
  <si>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</si>
  <si>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</si>
  <si>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</si>
  <si>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</si>
  <si>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</si>
  <si>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</si>
  <si>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</si>
  <si>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</si>
  <si>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</si>
  <si>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</si>
  <si>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</si>
  <si>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</si>
  <si>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</si>
  <si>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</si>
  <si>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</si>
  <si>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</si>
  <si>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</si>
  <si>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</si>
  <si>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</si>
  <si>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</si>
  <si>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</si>
  <si>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</si>
  <si>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</si>
  <si>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</si>
  <si>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</si>
  <si>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</si>
  <si>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</si>
  <si>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</si>
  <si>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</si>
  <si>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</si>
  <si>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</si>
  <si>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</si>
  <si>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</si>
  <si>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</si>
  <si>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</si>
  <si>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</si>
  <si>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</si>
  <si>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</si>
  <si>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</si>
  <si>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</si>
  <si>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</si>
  <si>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</si>
  <si>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</si>
  <si>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</si>
  <si>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</si>
  <si>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</si>
  <si>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</si>
  <si>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</si>
  <si>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</si>
  <si>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</si>
  <si>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</si>
  <si>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</si>
  <si>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</si>
  <si>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</si>
  <si>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</si>
  <si>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</si>
  <si>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</si>
  <si>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</si>
  <si>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</si>
  <si>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</si>
  <si>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</si>
  <si>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</si>
  <si>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</si>
  <si>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</si>
  <si>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</si>
  <si>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</si>
  <si>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</si>
  <si>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</si>
  <si>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</si>
  <si>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</si>
  <si>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</si>
  <si>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</si>
  <si>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</si>
  <si>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</si>
  <si>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</si>
  <si>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</si>
  <si>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</si>
  <si>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</si>
  <si>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</si>
  <si>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</si>
  <si>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</si>
  <si>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</si>
  <si>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</si>
  <si>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</si>
  <si>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</si>
  <si>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</si>
  <si>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</si>
  <si>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</si>
  <si>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</si>
  <si>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</si>
  <si>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</si>
  <si>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</si>
  <si>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</si>
  <si>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</si>
  <si>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</si>
  <si>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</si>
  <si>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</si>
  <si>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</si>
  <si>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</si>
  <si>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</si>
  <si>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</si>
  <si>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</si>
  <si>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</si>
  <si>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</si>
  <si>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</si>
  <si>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</si>
  <si>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</si>
  <si>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</si>
  <si>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</si>
  <si>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</si>
  <si>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</si>
  <si>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</si>
  <si>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</si>
  <si>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</si>
  <si>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</si>
  <si>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</si>
  <si>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</si>
  <si>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</si>
  <si>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</si>
  <si>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</si>
  <si>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</si>
  <si>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</si>
  <si>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</si>
  <si>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</si>
  <si>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</si>
  <si>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</si>
  <si>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</si>
  <si>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</si>
  <si>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</si>
  <si>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</si>
  <si>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</si>
  <si>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</si>
  <si>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</si>
  <si>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</si>
  <si>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</si>
  <si>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</si>
  <si>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</si>
  <si>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</si>
  <si>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</si>
  <si>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</si>
  <si>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</si>
  <si>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</si>
  <si>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</si>
  <si>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</si>
  <si>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</si>
  <si>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</si>
  <si>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</si>
  <si>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</si>
  <si>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</si>
  <si>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</si>
  <si>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</si>
  <si>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</si>
  <si>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</si>
  <si>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</si>
  <si>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</si>
  <si>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</si>
  <si>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</si>
  <si>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</si>
  <si>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</si>
  <si>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</si>
  <si>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</si>
  <si>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</si>
  <si>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</si>
  <si>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</si>
  <si>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</si>
  <si>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</si>
  <si>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</si>
  <si>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</si>
  <si>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</si>
  <si>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</si>
  <si>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</si>
  <si>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</si>
  <si>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</si>
  <si>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</si>
  <si>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</si>
  <si>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</si>
  <si>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</si>
  <si>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</si>
  <si>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</si>
  <si>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</si>
  <si>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</si>
  <si>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</si>
  <si>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</si>
  <si>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</si>
  <si>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</si>
  <si>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</si>
  <si>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</si>
  <si>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</si>
  <si>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</si>
  <si>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</si>
  <si>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</si>
  <si>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</si>
  <si>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</si>
  <si>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</si>
  <si>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</si>
  <si>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</si>
  <si>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</si>
  <si>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</si>
  <si>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</si>
  <si>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</si>
  <si>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</si>
  <si>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</si>
  <si>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</si>
  <si>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</si>
  <si>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</si>
  <si>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</si>
  <si>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</si>
  <si>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</si>
  <si>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</si>
  <si>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</si>
  <si>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</si>
  <si>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</si>
  <si>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</si>
  <si>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</si>
  <si>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</si>
  <si>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</si>
  <si>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</si>
  <si>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</si>
  <si>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</si>
  <si>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</si>
  <si>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</si>
  <si>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</si>
  <si>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</si>
  <si>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</si>
  <si>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</si>
  <si>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</si>
  <si>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</si>
  <si>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</si>
  <si>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</si>
  <si>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</si>
  <si>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</si>
  <si>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</si>
  <si>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</si>
  <si>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</si>
  <si>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</si>
  <si>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</si>
  <si>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</si>
  <si>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</si>
  <si>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</si>
  <si>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</si>
  <si>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</si>
  <si>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</si>
  <si>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</si>
  <si>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</si>
  <si>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</si>
  <si>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</si>
  <si>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</si>
  <si>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</si>
  <si>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</si>
  <si>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</si>
  <si>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</si>
  <si>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</si>
  <si>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</si>
  <si>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</si>
  <si>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</si>
  <si>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</si>
  <si>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</si>
  <si>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</si>
  <si>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</si>
  <si>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</si>
  <si>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</si>
  <si>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</si>
  <si>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</si>
  <si>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</si>
  <si>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</si>
  <si>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</si>
  <si>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</si>
  <si>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</si>
  <si>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</si>
  <si>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</si>
  <si>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</si>
  <si>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</si>
  <si>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</si>
  <si>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</si>
  <si>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</si>
  <si>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</si>
  <si>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</si>
  <si>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</si>
  <si>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</si>
  <si>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</si>
  <si>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</si>
  <si>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</si>
  <si>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</si>
  <si>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</si>
  <si>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</si>
  <si>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</si>
  <si>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</si>
  <si>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</si>
  <si>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</si>
  <si>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</si>
  <si>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</si>
  <si>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</si>
  <si>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</si>
  <si>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</si>
  <si>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</si>
  <si>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</si>
  <si>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</si>
  <si>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</si>
  <si>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</si>
  <si>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</si>
  <si>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</si>
  <si>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</si>
  <si>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</si>
  <si>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</si>
  <si>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</si>
  <si>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</si>
  <si>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</si>
  <si>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</si>
  <si>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</si>
  <si>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</si>
  <si>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</si>
  <si>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</si>
  <si>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</si>
  <si>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</si>
  <si>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</si>
  <si>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</si>
  <si>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</si>
  <si>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</si>
  <si>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</si>
  <si>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</si>
  <si>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</si>
  <si>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</si>
  <si>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</si>
  <si>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</si>
  <si>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</si>
  <si>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</si>
  <si>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</si>
  <si>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</si>
  <si>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</si>
  <si>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</si>
  <si>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</si>
  <si>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</si>
  <si>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</si>
  <si>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</si>
  <si>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</si>
  <si>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</si>
  <si>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</si>
  <si>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</si>
  <si>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</si>
  <si>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</si>
  <si>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</si>
  <si>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</si>
  <si>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</si>
  <si>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</si>
  <si>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</si>
  <si>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</si>
  <si>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</si>
  <si>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</si>
  <si>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</si>
  <si>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</si>
  <si>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</si>
  <si>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</si>
  <si>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</si>
  <si>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</si>
  <si>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</si>
  <si>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</si>
  <si>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</si>
  <si>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</si>
  <si>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</si>
  <si>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</si>
  <si>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</si>
  <si>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</si>
  <si>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</si>
  <si>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</si>
  <si>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</si>
  <si>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</si>
  <si>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</si>
  <si>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</si>
  <si>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</si>
  <si>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</si>
  <si>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</si>
  <si>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</si>
  <si>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</si>
  <si>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</si>
  <si>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</si>
  <si>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</si>
  <si>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</si>
  <si>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</si>
  <si>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</si>
  <si>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</si>
  <si>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</si>
  <si>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</si>
  <si>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</si>
  <si>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</si>
  <si>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</si>
  <si>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</si>
  <si>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</si>
  <si>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</si>
  <si>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</si>
  <si>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</si>
  <si>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</si>
  <si>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</si>
  <si>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</si>
  <si>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</si>
  <si>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</si>
  <si>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</si>
  <si>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</si>
  <si>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</si>
  <si>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</si>
  <si>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</si>
  <si>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</si>
  <si>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</si>
  <si>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</si>
  <si>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</si>
  <si>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</si>
  <si>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</si>
  <si>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</si>
  <si>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</si>
  <si>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</si>
  <si>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</si>
  <si>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</si>
  <si>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</si>
  <si>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</si>
  <si>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</si>
  <si>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</si>
  <si>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</si>
  <si>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</si>
  <si>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</si>
  <si>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</si>
  <si>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</si>
  <si>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</si>
  <si>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</si>
  <si>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</si>
  <si>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</si>
  <si>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</si>
  <si>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</si>
  <si>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</si>
  <si>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</si>
  <si>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</si>
  <si>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</si>
  <si>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</si>
  <si>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</si>
  <si>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</si>
  <si>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</si>
  <si>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</si>
  <si>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</si>
  <si>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</si>
  <si>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</si>
  <si>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</si>
  <si>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</si>
  <si>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</si>
  <si>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</si>
  <si>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</si>
  <si>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</si>
  <si>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</si>
  <si>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</si>
  <si>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</si>
  <si>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</si>
  <si>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</si>
  <si>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</si>
  <si>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</si>
  <si>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</si>
  <si>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</si>
  <si>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</si>
  <si>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</si>
  <si>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</si>
  <si>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</si>
  <si>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</si>
  <si>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</si>
  <si>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</si>
  <si>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</si>
  <si>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</si>
  <si>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</si>
  <si>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</si>
  <si>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</si>
  <si>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</si>
  <si>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</si>
  <si>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</si>
  <si>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</si>
  <si>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</si>
  <si>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</si>
  <si>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</si>
  <si>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</si>
  <si>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</si>
  <si>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</si>
  <si>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</si>
  <si>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</si>
  <si>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</si>
  <si>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</si>
  <si>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</si>
  <si>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</si>
  <si>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</si>
  <si>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</si>
  <si>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</si>
  <si>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</si>
  <si>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</si>
  <si>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</si>
  <si>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</si>
  <si>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</si>
  <si>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</si>
  <si>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</si>
  <si>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</si>
  <si>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</si>
  <si>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</si>
  <si>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</si>
  <si>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</si>
  <si>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</si>
  <si>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</si>
  <si>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</si>
  <si>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</si>
  <si>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</si>
  <si>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</si>
  <si>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</si>
  <si>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</si>
  <si>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</si>
  <si>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</si>
  <si>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</si>
  <si>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</si>
  <si>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</si>
  <si>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</si>
  <si>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</si>
  <si>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</si>
  <si>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</si>
  <si>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</si>
  <si>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</si>
  <si>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</si>
  <si>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</si>
  <si>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</si>
  <si>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</si>
  <si>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</si>
  <si>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</si>
  <si>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</si>
  <si>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</si>
  <si>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</si>
  <si>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</si>
  <si>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</si>
  <si>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</si>
  <si>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</si>
  <si>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</si>
  <si>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</si>
  <si>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</si>
  <si>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</si>
  <si>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</si>
  <si>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</si>
  <si>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</si>
  <si>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</si>
  <si>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</si>
  <si>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</si>
  <si>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</si>
  <si>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</si>
  <si>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</si>
  <si>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</si>
  <si>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</si>
  <si>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</si>
  <si>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</si>
  <si>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</si>
  <si>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</si>
  <si>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</si>
  <si>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</si>
  <si>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</si>
  <si>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</si>
  <si>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</si>
  <si>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</si>
  <si>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</si>
  <si>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</si>
  <si>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</si>
  <si>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</si>
  <si>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</si>
  <si>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</si>
  <si>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</si>
  <si>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</si>
  <si>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</si>
  <si>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</si>
  <si>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</si>
  <si>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</si>
  <si>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</si>
  <si>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</si>
  <si>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</si>
  <si>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</si>
  <si>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</si>
  <si>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</si>
  <si>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</si>
  <si>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</si>
  <si>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</si>
  <si>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</si>
  <si>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</si>
  <si>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</si>
  <si>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</si>
  <si>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</si>
  <si>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</si>
  <si>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</si>
  <si>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</si>
  <si>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</si>
  <si>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</si>
  <si>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</si>
  <si>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</si>
  <si>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</si>
  <si>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</si>
  <si>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</si>
  <si>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</si>
  <si>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</si>
  <si>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</si>
  <si>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</si>
  <si>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</si>
  <si>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</si>
  <si>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</si>
  <si>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</si>
  <si>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</si>
  <si>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</si>
  <si>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</si>
  <si>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</si>
  <si>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</si>
  <si>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</si>
  <si>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</si>
  <si>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</si>
  <si>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</si>
  <si>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</si>
  <si>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</si>
  <si>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</si>
  <si>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</si>
  <si>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</si>
  <si>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</si>
  <si>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</si>
  <si>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</si>
  <si>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</si>
  <si>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</si>
  <si>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</si>
  <si>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</si>
  <si>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</si>
  <si>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</si>
  <si>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</si>
  <si>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</si>
  <si>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</si>
  <si>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</si>
  <si>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</si>
  <si>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</si>
  <si>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</si>
  <si>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</si>
  <si>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</si>
  <si>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</si>
  <si>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</si>
  <si>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</si>
  <si>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</si>
  <si>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</si>
  <si>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</si>
  <si>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</si>
  <si>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</si>
  <si>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</si>
  <si>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</si>
  <si>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</si>
  <si>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</si>
  <si>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</si>
  <si>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</si>
  <si>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</si>
  <si>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</si>
  <si>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</si>
  <si>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</si>
  <si>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</si>
  <si>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</si>
  <si>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</si>
  <si>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</si>
  <si>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</si>
  <si>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</si>
  <si>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</si>
  <si>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</si>
  <si>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</si>
  <si>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</si>
  <si>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</si>
  <si>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</si>
  <si>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</si>
  <si>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</si>
  <si>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</si>
  <si>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</si>
  <si>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</si>
  <si>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</si>
  <si>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</si>
  <si>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</si>
  <si>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</si>
  <si>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</si>
  <si>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</si>
  <si>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</si>
  <si>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</si>
  <si>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</si>
  <si>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</si>
  <si>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</si>
  <si>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</si>
  <si>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</si>
  <si>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</si>
  <si>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</si>
  <si>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</si>
  <si>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</si>
  <si>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</si>
  <si>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</si>
  <si>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</si>
  <si>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</si>
  <si>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</si>
  <si>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</si>
  <si>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</si>
  <si>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</si>
  <si>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</si>
  <si>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</si>
  <si>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</si>
  <si>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</si>
  <si>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</si>
  <si>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</si>
  <si>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</si>
  <si>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</si>
  <si>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</si>
  <si>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</si>
  <si>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</si>
  <si>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</si>
  <si>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</si>
  <si>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</si>
  <si>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</si>
  <si>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</si>
  <si>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</si>
  <si>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</si>
  <si>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</si>
  <si>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</si>
  <si>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</si>
  <si>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</si>
  <si>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</si>
  <si>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</si>
  <si>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</si>
  <si>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</si>
  <si>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</si>
  <si>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</si>
  <si>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</si>
  <si>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</si>
  <si>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</si>
  <si>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</si>
  <si>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</si>
  <si>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</si>
  <si>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</si>
  <si>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</si>
  <si>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</si>
  <si>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</si>
  <si>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</si>
  <si>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</si>
  <si>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</si>
  <si>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</si>
  <si>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</si>
  <si>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</si>
  <si>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</si>
  <si>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</si>
  <si>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</si>
  <si>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</si>
  <si>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</si>
  <si>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</si>
  <si>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</si>
  <si>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</si>
  <si>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</si>
  <si>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</si>
  <si>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</si>
  <si>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</si>
  <si>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</si>
  <si>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</si>
  <si>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</si>
  <si>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</si>
  <si>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</si>
  <si>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</si>
  <si>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</si>
  <si>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</si>
  <si>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</si>
  <si>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</si>
  <si>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</si>
  <si>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</si>
  <si>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</si>
  <si>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</si>
  <si>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</si>
  <si>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</si>
  <si>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</si>
  <si>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</si>
  <si>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</si>
  <si>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</si>
  <si>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</si>
  <si>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</si>
  <si>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</si>
  <si>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</si>
  <si>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</si>
  <si>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</si>
  <si>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</si>
  <si>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</si>
  <si>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</si>
  <si>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</si>
  <si>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</si>
  <si>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</si>
  <si>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</si>
  <si>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</si>
  <si>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</si>
  <si>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</si>
  <si>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</si>
  <si>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</si>
  <si>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</si>
  <si>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</si>
  <si>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</si>
  <si>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</si>
  <si>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</si>
  <si>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</si>
  <si>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</si>
  <si>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</si>
  <si>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</si>
  <si>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</si>
  <si>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</si>
  <si>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</si>
  <si>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</si>
  <si>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</si>
  <si>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</si>
  <si>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</si>
  <si>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</si>
  <si>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</si>
  <si>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</si>
  <si>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</si>
  <si>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</si>
  <si>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</si>
  <si>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</si>
  <si>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</si>
  <si>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</si>
  <si>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</si>
  <si>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</si>
  <si>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</si>
  <si>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</si>
  <si>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</si>
  <si>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</si>
  <si>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</si>
  <si>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</si>
  <si>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</si>
  <si>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</si>
  <si>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</si>
  <si>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</si>
  <si>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</si>
  <si>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</si>
  <si>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</si>
  <si>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</si>
  <si>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</si>
  <si>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</si>
  <si>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</si>
  <si>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</si>
  <si>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</si>
  <si>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</si>
  <si>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</si>
  <si>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</si>
  <si>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</si>
  <si>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</si>
  <si>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</si>
  <si>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</si>
  <si>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</si>
  <si>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</si>
  <si>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</si>
  <si>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</si>
  <si>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</si>
  <si>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</si>
  <si>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</si>
  <si>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</si>
  <si>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</si>
  <si>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</si>
  <si>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</si>
  <si>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</si>
  <si>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</si>
  <si>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</si>
  <si>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</si>
  <si>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</si>
  <si>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</si>
  <si>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</si>
  <si>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</si>
  <si>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</si>
  <si>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</si>
  <si>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</si>
  <si>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</si>
  <si>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</si>
  <si>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</si>
  <si>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</si>
  <si>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</si>
  <si>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</si>
  <si>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</si>
  <si>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</si>
  <si>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</si>
  <si>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</si>
  <si>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</si>
  <si>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</si>
  <si>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</si>
  <si>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</si>
  <si>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</si>
  <si>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</si>
  <si>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</si>
  <si>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</si>
  <si>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</si>
  <si>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</si>
  <si>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</si>
  <si>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</si>
  <si>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</si>
  <si>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</si>
  <si>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</si>
  <si>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</si>
  <si>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</si>
  <si>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</si>
  <si>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</si>
  <si>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</si>
  <si>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</si>
  <si>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</si>
  <si>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</si>
  <si>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</si>
  <si>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</si>
  <si>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</si>
  <si>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</si>
  <si>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</si>
  <si>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</si>
  <si>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</si>
  <si>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</si>
  <si>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</si>
  <si>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</si>
  <si>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</si>
  <si>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</si>
  <si>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</si>
  <si>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</si>
  <si>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</si>
  <si>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</si>
  <si>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</si>
  <si>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</si>
  <si>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</si>
  <si>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</si>
  <si>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</si>
  <si>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</si>
  <si>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</si>
  <si>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</si>
  <si>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</si>
  <si>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</si>
  <si>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</si>
  <si>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</si>
  <si>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</si>
  <si>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</si>
  <si>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</si>
  <si>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</si>
  <si>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</si>
  <si>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</si>
  <si>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</si>
  <si>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</si>
  <si>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</si>
  <si>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</si>
  <si>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</si>
  <si>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</si>
  <si>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</si>
  <si>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</si>
  <si>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</si>
  <si>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</si>
  <si>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</si>
  <si>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</si>
  <si>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</si>
  <si>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</si>
  <si>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</si>
  <si>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</si>
  <si>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</si>
  <si>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</si>
  <si>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</si>
  <si>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</si>
  <si>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</si>
  <si>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</si>
  <si>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</si>
  <si>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</si>
  <si>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</si>
  <si>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</si>
  <si>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</si>
  <si>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</si>
  <si>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</si>
  <si>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</si>
  <si>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</si>
  <si>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</si>
  <si>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</si>
  <si>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</si>
  <si>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</si>
  <si>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</si>
  <si>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</si>
  <si>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</si>
  <si>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</si>
  <si>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</si>
  <si>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</si>
  <si>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</si>
  <si>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</si>
  <si>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</si>
  <si>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</si>
  <si>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</si>
  <si>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</si>
  <si>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</si>
  <si>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</si>
  <si>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</si>
  <si>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</si>
  <si>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</si>
  <si>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</si>
  <si>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</si>
  <si>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</si>
  <si>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</si>
  <si>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</si>
  <si>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</si>
  <si>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</si>
  <si>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</si>
  <si>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</si>
  <si>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</si>
  <si>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</si>
  <si>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</si>
  <si>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</si>
  <si>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</si>
  <si>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</si>
  <si>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</si>
  <si>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</si>
  <si>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</si>
  <si>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</si>
  <si>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</si>
  <si>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</si>
  <si>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</si>
  <si>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</si>
  <si>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</si>
  <si>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</si>
  <si>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</si>
  <si>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</si>
  <si>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</si>
  <si>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</si>
  <si>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</si>
  <si>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</si>
  <si>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</si>
  <si>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</si>
  <si>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</si>
  <si>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</si>
  <si>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</si>
  <si>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</si>
  <si>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</si>
  <si>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</si>
  <si>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</si>
  <si>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</si>
  <si>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</si>
  <si>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</si>
  <si>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</si>
  <si>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</si>
  <si>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</si>
  <si>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</si>
  <si>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</si>
  <si>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</si>
  <si>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</si>
  <si>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</si>
  <si>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</si>
  <si>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</si>
  <si>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</si>
  <si>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</si>
  <si>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</si>
  <si>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</si>
  <si>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</si>
  <si>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</si>
  <si>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</si>
  <si>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</si>
  <si>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</si>
  <si>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</si>
  <si>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</si>
  <si>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</si>
  <si>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</si>
  <si>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</si>
  <si>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</si>
  <si>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</si>
  <si>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</si>
  <si>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</si>
  <si>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</si>
  <si>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</si>
  <si>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</si>
  <si>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</si>
  <si>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</si>
  <si>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</si>
  <si>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</si>
  <si>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</si>
  <si>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</si>
  <si>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</si>
  <si>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</si>
  <si>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</si>
  <si>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</si>
  <si>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</si>
  <si>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</si>
  <si>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</si>
  <si>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</si>
  <si>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</si>
  <si>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</si>
  <si>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</si>
  <si>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</si>
  <si>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</si>
  <si>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</si>
  <si>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</si>
  <si>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</si>
  <si>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</si>
  <si>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</si>
  <si>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</si>
  <si>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</si>
  <si>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</si>
  <si>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</si>
  <si>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</si>
  <si>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</si>
  <si>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</si>
  <si>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</si>
  <si>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</si>
  <si>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</si>
  <si>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</si>
  <si>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</si>
  <si>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</si>
  <si>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</si>
  <si>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</si>
  <si>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</si>
  <si>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</si>
  <si>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</si>
  <si>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</si>
  <si>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</si>
  <si>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</si>
  <si>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</si>
  <si>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</si>
  <si>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</si>
  <si>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</si>
  <si>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</si>
  <si>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</si>
  <si>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</si>
  <si>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</si>
  <si>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</si>
  <si>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</si>
  <si>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</si>
  <si>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</si>
  <si>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</si>
  <si>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</si>
  <si>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</si>
  <si>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</si>
  <si>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</si>
  <si>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</si>
  <si>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</si>
  <si>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</si>
  <si>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</si>
  <si>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</si>
  <si>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</si>
  <si>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</si>
  <si>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</si>
  <si>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</si>
  <si>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</si>
  <si>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</si>
  <si>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</si>
  <si>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</si>
  <si>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</si>
  <si>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</si>
  <si>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</si>
  <si>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</si>
  <si>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</si>
  <si>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</si>
  <si>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</si>
  <si>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</si>
  <si>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</si>
  <si>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</si>
  <si>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</si>
  <si>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</si>
  <si>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</si>
  <si>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</si>
  <si>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</si>
  <si>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</si>
  <si>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</si>
  <si>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</si>
  <si>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</si>
  <si>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</si>
  <si>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</si>
  <si>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</si>
  <si>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</si>
  <si>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</si>
  <si>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</si>
  <si>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</si>
  <si>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</si>
  <si>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</si>
  <si>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</si>
  <si>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</si>
  <si>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</si>
  <si>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</si>
  <si>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</si>
  <si>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</si>
  <si>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</si>
  <si>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</si>
  <si>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</si>
  <si>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</si>
  <si>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</si>
  <si>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</si>
  <si>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</si>
  <si>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</si>
  <si>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</si>
  <si>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</si>
  <si>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</si>
  <si>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</si>
  <si>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</si>
  <si>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</si>
  <si>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</si>
  <si>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</si>
  <si>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</si>
  <si>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</si>
  <si>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</si>
  <si>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</si>
  <si>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</si>
  <si>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</si>
  <si>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</si>
  <si>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</si>
  <si>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</si>
  <si>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</si>
  <si>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</si>
  <si>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</si>
  <si>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</si>
  <si>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</si>
  <si>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</si>
  <si>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</si>
  <si>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</si>
  <si>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</si>
  <si>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</si>
  <si>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</si>
  <si>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</si>
  <si>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</si>
  <si>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</si>
  <si>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</si>
  <si>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</si>
  <si>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</si>
  <si>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</si>
  <si>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</si>
  <si>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</si>
  <si>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</si>
  <si>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</si>
  <si>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</si>
  <si>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</si>
  <si>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</si>
  <si>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</si>
  <si>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</si>
  <si>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</si>
  <si>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</si>
  <si>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</si>
  <si>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</si>
  <si>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</si>
  <si>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</si>
  <si>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</si>
  <si>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</si>
  <si>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</si>
  <si>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</si>
  <si>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</si>
  <si>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</si>
  <si>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</si>
  <si>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</si>
  <si>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</si>
  <si>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</si>
  <si>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</si>
  <si>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</si>
  <si>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</si>
  <si>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</si>
  <si>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</si>
  <si>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</si>
  <si>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</si>
  <si>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</si>
  <si>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</si>
  <si>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</si>
  <si>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</si>
  <si>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</si>
  <si>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</si>
  <si>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</si>
  <si>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</si>
  <si>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</si>
  <si>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</si>
  <si>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</si>
  <si>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</si>
  <si>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</si>
  <si>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</si>
  <si>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</si>
  <si>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</si>
  <si>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</si>
  <si>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</si>
  <si>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</si>
  <si>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</si>
  <si>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</si>
  <si>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</si>
  <si>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</si>
  <si>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</si>
  <si>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</si>
  <si>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</si>
  <si>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</si>
  <si>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</si>
  <si>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</si>
  <si>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</si>
  <si>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</si>
  <si>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</si>
  <si>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</si>
  <si>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</si>
  <si>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</si>
  <si>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</si>
  <si>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</si>
  <si>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</si>
  <si>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</si>
  <si>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</si>
  <si>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</si>
  <si>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</si>
  <si>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</si>
  <si>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</si>
  <si>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</si>
  <si>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</si>
  <si>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</si>
  <si>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</si>
  <si>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</si>
  <si>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</si>
  <si>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</si>
  <si>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</si>
  <si>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</si>
  <si>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</si>
  <si>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</si>
  <si>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</si>
  <si>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</si>
  <si>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</si>
  <si>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</si>
  <si>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</si>
  <si>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</si>
  <si>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</si>
  <si>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</si>
  <si>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</si>
  <si>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</si>
  <si>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</si>
  <si>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</si>
  <si>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</si>
  <si>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</si>
  <si>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</si>
  <si>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</si>
  <si>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</si>
  <si>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</si>
  <si>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</si>
  <si>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</si>
  <si>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</si>
  <si>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</si>
  <si>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</si>
  <si>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</si>
  <si>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</si>
  <si>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</si>
  <si>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</si>
  <si>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</si>
  <si>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</si>
  <si>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</si>
  <si>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</si>
  <si>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</si>
  <si>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</si>
  <si>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</si>
  <si>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</si>
  <si>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</si>
  <si>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</si>
  <si>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</si>
  <si>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</si>
  <si>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</si>
  <si>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</si>
  <si>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</si>
  <si>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</si>
  <si>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</si>
  <si>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</si>
  <si>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</si>
  <si>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</si>
  <si>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</si>
  <si>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</si>
  <si>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</si>
  <si>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</si>
  <si>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</si>
  <si>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</si>
  <si>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</si>
  <si>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</si>
  <si>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</si>
  <si>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</si>
  <si>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</si>
  <si>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</si>
  <si>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</si>
  <si>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</si>
  <si>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</si>
  <si>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</si>
  <si>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</si>
  <si>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</si>
  <si>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</si>
  <si>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</si>
  <si>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</si>
  <si>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</si>
  <si>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</si>
  <si>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</si>
  <si>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</si>
  <si>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</si>
  <si>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</si>
  <si>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</si>
  <si>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</si>
  <si>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</si>
  <si>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</si>
  <si>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</si>
  <si>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</si>
  <si>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</si>
  <si>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</si>
  <si>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</si>
  <si>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</si>
  <si>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</si>
  <si>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</si>
  <si>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</si>
  <si>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</si>
  <si>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</si>
  <si>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</si>
  <si>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</si>
  <si>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</si>
  <si>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</si>
  <si>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</si>
  <si>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</si>
  <si>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</si>
  <si>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</si>
  <si>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</si>
  <si>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</si>
  <si>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</si>
  <si>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</si>
  <si>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</si>
  <si>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</si>
  <si>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</si>
  <si>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</si>
  <si>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</si>
  <si>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</si>
  <si>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</si>
  <si>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</si>
  <si>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</si>
  <si>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</si>
  <si>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</si>
  <si>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</si>
  <si>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</si>
  <si>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</si>
  <si>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</si>
  <si>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</si>
  <si>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</si>
  <si>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</si>
  <si>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</si>
  <si>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</si>
  <si>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</si>
  <si>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</si>
  <si>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</si>
  <si>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</si>
  <si>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</si>
  <si>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</si>
  <si>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</si>
  <si>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</si>
  <si>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</si>
  <si>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</si>
  <si>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</si>
  <si>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</si>
  <si>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</si>
  <si>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</si>
  <si>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</si>
  <si>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</si>
  <si>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</si>
  <si>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</si>
  <si>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</si>
  <si>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</si>
  <si>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</si>
  <si>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</si>
  <si>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</si>
  <si>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</si>
  <si>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</si>
  <si>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</si>
  <si>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</si>
  <si>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</si>
  <si>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</si>
  <si>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</si>
  <si>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</si>
  <si>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</si>
  <si>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</si>
  <si>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</si>
  <si>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</si>
  <si>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</si>
  <si>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</si>
  <si>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</si>
  <si>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</si>
  <si>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</si>
  <si>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</si>
  <si>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</si>
  <si>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</si>
  <si>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</si>
  <si>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</si>
  <si>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</si>
  <si>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</si>
  <si>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</si>
  <si>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</si>
  <si>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</si>
  <si>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</si>
  <si>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</si>
  <si>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</si>
  <si>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</si>
  <si>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</si>
  <si>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</si>
  <si>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</si>
  <si>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</si>
  <si>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</si>
  <si>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</si>
  <si>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</si>
  <si>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</si>
  <si>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</si>
  <si>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</si>
  <si>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</si>
  <si>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</si>
  <si>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</si>
  <si>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</si>
  <si>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</si>
  <si>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</si>
  <si>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</si>
  <si>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</si>
  <si>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</si>
  <si>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</si>
  <si>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</si>
  <si>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</si>
  <si>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</si>
  <si>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</si>
  <si>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</si>
  <si>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</si>
  <si>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</si>
  <si>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</si>
  <si>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</si>
  <si>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</si>
  <si>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</si>
  <si>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</si>
  <si>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</si>
  <si>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</si>
  <si>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</si>
  <si>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</si>
  <si>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</si>
  <si>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</si>
  <si>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</si>
  <si>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</si>
  <si>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</si>
  <si>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</si>
  <si>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</si>
  <si>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</si>
  <si>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</si>
  <si>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</si>
  <si>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</si>
  <si>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</si>
  <si>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</si>
  <si>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</si>
  <si>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</si>
  <si>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</si>
  <si>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</si>
  <si>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</si>
  <si>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</si>
  <si>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</si>
  <si>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</si>
  <si>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</si>
  <si>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</si>
  <si>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</si>
  <si>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</si>
  <si>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</si>
  <si>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</si>
  <si>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</si>
  <si>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</si>
  <si>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</si>
  <si>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</si>
  <si>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</si>
  <si>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</si>
  <si>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</si>
  <si>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</si>
  <si>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</si>
  <si>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</si>
  <si>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</si>
  <si>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</si>
  <si>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</si>
  <si>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</si>
  <si>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</si>
  <si>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</si>
  <si>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</si>
  <si>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</si>
  <si>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</si>
  <si>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</si>
  <si>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</si>
  <si>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</si>
  <si>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</si>
  <si>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</si>
  <si>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</si>
  <si>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</si>
  <si>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</si>
  <si>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</si>
  <si>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</si>
  <si>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</si>
  <si>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</si>
  <si>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</si>
  <si>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</si>
  <si>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</si>
  <si>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</si>
  <si>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</si>
  <si>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</si>
  <si>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</si>
  <si>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</si>
  <si>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</si>
  <si>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</si>
  <si>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</si>
  <si>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</si>
  <si>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</si>
  <si>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</si>
  <si>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</si>
  <si>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</si>
  <si>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</si>
  <si>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</si>
  <si>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</si>
  <si>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</si>
  <si>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</si>
  <si>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</si>
  <si>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</si>
  <si>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</si>
  <si>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</si>
  <si>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</si>
  <si>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</si>
  <si>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</si>
  <si>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</si>
  <si>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</si>
  <si>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</si>
  <si>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</si>
  <si>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</si>
  <si>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</si>
  <si>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</si>
  <si>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</si>
  <si>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</si>
  <si>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</si>
  <si>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</si>
  <si>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</si>
  <si>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</si>
  <si>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</si>
  <si>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</si>
  <si>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</si>
  <si>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</si>
  <si>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</si>
  <si>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</si>
  <si>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</si>
  <si>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</si>
  <si>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</si>
  <si>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</si>
  <si>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</si>
  <si>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</si>
  <si>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</si>
  <si>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</si>
  <si>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</si>
  <si>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</si>
  <si>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</si>
  <si>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</si>
  <si>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</si>
  <si>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</si>
  <si>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</si>
  <si>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</si>
  <si>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</si>
  <si>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</si>
  <si>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</si>
  <si>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</si>
  <si>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</si>
  <si>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</si>
  <si>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</si>
  <si>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</si>
  <si>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</si>
  <si>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</si>
  <si>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</si>
  <si>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</si>
  <si>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</si>
  <si>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</si>
  <si>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</si>
  <si>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</si>
  <si>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</si>
  <si>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</si>
  <si>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</si>
  <si>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</si>
  <si>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</si>
  <si>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</si>
  <si>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</si>
  <si>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</si>
  <si>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</si>
  <si>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</si>
  <si>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</si>
  <si>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</si>
  <si>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</si>
  <si>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</si>
  <si>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</si>
  <si>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</si>
  <si>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</si>
  <si>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</si>
  <si>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</si>
  <si>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</si>
  <si>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</si>
  <si>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</si>
  <si>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</si>
  <si>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</si>
  <si>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</si>
  <si>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</si>
  <si>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</si>
  <si>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</si>
  <si>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</si>
  <si>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</si>
  <si>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</si>
  <si>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</si>
  <si>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</si>
  <si>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</si>
  <si>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</si>
  <si>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</si>
  <si>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</si>
  <si>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</si>
  <si>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</si>
  <si>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</si>
  <si>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</si>
  <si>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</si>
  <si>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</si>
  <si>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</si>
  <si>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</si>
  <si>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</si>
  <si>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</si>
  <si>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</si>
  <si>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</si>
  <si>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</si>
  <si>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</si>
  <si>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</si>
  <si>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</si>
  <si>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</si>
  <si>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</si>
  <si>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</si>
  <si>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</si>
  <si>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</si>
  <si>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</si>
  <si>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</si>
  <si>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</si>
  <si>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</si>
  <si>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</si>
  <si>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</si>
  <si>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</si>
  <si>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</si>
  <si>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</si>
  <si>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</si>
  <si>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</si>
  <si>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</si>
  <si>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</si>
  <si>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</si>
  <si>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</si>
  <si>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</si>
  <si>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</si>
  <si>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</si>
  <si>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</si>
  <si>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</si>
  <si>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</si>
  <si>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</si>
  <si>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</si>
  <si>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</si>
  <si>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</si>
  <si>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</si>
  <si>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</si>
  <si>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</si>
  <si>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</si>
  <si>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</si>
  <si>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</si>
  <si>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</si>
  <si>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</si>
  <si>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</si>
  <si>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</si>
  <si>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</si>
  <si>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</si>
  <si>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</si>
  <si>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</si>
  <si>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</si>
  <si>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</si>
  <si>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</si>
  <si>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</si>
  <si>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</si>
  <si>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</si>
  <si>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</si>
  <si>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</si>
  <si>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</si>
  <si>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</si>
  <si>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</si>
  <si>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</si>
  <si>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</si>
  <si>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</si>
  <si>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</si>
  <si>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</si>
  <si>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</si>
  <si>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</si>
  <si>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</si>
  <si>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</si>
  <si>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</si>
  <si>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</si>
  <si>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</si>
  <si>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</si>
  <si>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</si>
  <si>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</si>
  <si>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</si>
  <si>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</si>
  <si>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</si>
  <si>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</si>
  <si>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</si>
  <si>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</si>
  <si>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</si>
  <si>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</si>
  <si>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</si>
  <si>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</si>
  <si>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</si>
  <si>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</si>
  <si>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</si>
  <si>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</si>
  <si>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</si>
  <si>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</si>
  <si>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</si>
  <si>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</si>
  <si>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</si>
  <si>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</si>
  <si>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</si>
  <si>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</si>
  <si>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</si>
  <si>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</si>
  <si>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</si>
  <si>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</si>
  <si>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</si>
  <si>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</si>
  <si>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</si>
  <si>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</si>
  <si>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</si>
  <si>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</si>
  <si>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</si>
  <si>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</si>
  <si>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</si>
  <si>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</si>
  <si>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</si>
  <si>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</si>
  <si>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</si>
  <si>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</si>
  <si>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</si>
  <si>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</si>
  <si>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</si>
  <si>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</si>
  <si>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</si>
  <si>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</si>
  <si>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</si>
  <si>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</si>
  <si>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</si>
  <si>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</si>
  <si>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</si>
  <si>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</si>
  <si>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</si>
  <si>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</si>
  <si>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</si>
  <si>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</si>
  <si>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</si>
  <si>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</si>
  <si>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</si>
  <si>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</si>
  <si>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</si>
  <si>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</si>
  <si>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</si>
  <si>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</si>
  <si>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</si>
  <si>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</si>
  <si>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</si>
  <si>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</si>
  <si>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</si>
  <si>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</si>
  <si>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</si>
  <si>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</si>
  <si>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</si>
  <si>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</si>
  <si>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</si>
  <si>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</si>
  <si>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</si>
  <si>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</si>
  <si>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</si>
  <si>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</si>
  <si>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</si>
  <si>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</si>
  <si>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</si>
  <si>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</si>
  <si>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</si>
  <si>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</si>
  <si>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</si>
  <si>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</si>
  <si>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</si>
  <si>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</si>
  <si>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</si>
  <si>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</si>
  <si>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</si>
  <si>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</si>
  <si>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</si>
  <si>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</si>
  <si>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</si>
  <si>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</si>
  <si>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</si>
  <si>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</si>
  <si>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</si>
  <si>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</si>
  <si>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</si>
  <si>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</si>
  <si>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</si>
  <si>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</si>
  <si>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</si>
  <si>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</si>
  <si>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</si>
  <si>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</si>
  <si>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</si>
  <si>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</si>
  <si>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</si>
  <si>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</si>
  <si>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</si>
  <si>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</si>
  <si>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</si>
  <si>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</si>
  <si>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</si>
  <si>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</si>
  <si>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</si>
  <si>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</si>
  <si>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</si>
  <si>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</si>
  <si>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</si>
  <si>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</si>
  <si>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</si>
  <si>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</si>
  <si>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</si>
  <si>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</si>
  <si>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</si>
  <si>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</si>
  <si>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</si>
  <si>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</si>
  <si>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</si>
  <si>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</si>
  <si>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</si>
  <si>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</si>
  <si>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</si>
  <si>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</si>
  <si>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</si>
  <si>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</si>
  <si>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</si>
  <si>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</si>
  <si>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</si>
  <si>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</si>
  <si>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</si>
  <si>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</si>
  <si>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</si>
  <si>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</si>
  <si>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</si>
  <si>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</si>
  <si>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</si>
  <si>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</si>
  <si>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</si>
  <si>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</si>
  <si>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</si>
  <si>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</si>
  <si>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</si>
  <si>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</si>
  <si>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</si>
  <si>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</si>
  <si>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</si>
  <si>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</si>
  <si>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</si>
  <si>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</si>
  <si>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</si>
  <si>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</si>
  <si>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</si>
  <si>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</si>
  <si>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</si>
  <si>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</si>
  <si>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</si>
  <si>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</si>
  <si>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</si>
  <si>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</si>
  <si>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</si>
  <si>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</si>
  <si>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</si>
  <si>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</si>
  <si>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</si>
  <si>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</si>
  <si>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</si>
  <si>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</si>
  <si>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</si>
  <si>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</si>
  <si>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</si>
  <si>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</si>
  <si>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</si>
  <si>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</si>
  <si>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</si>
  <si>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</si>
  <si>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</si>
  <si>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</si>
  <si>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</si>
  <si>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</si>
  <si>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</si>
  <si>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</si>
  <si>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</si>
  <si>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</si>
  <si>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</si>
  <si>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</si>
  <si>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</si>
  <si>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</si>
  <si>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</si>
  <si>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</si>
  <si>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</si>
  <si>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</si>
  <si>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</si>
  <si>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</si>
  <si>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</si>
  <si>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</si>
  <si>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</si>
  <si>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</si>
  <si>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</si>
  <si>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</si>
  <si>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</si>
  <si>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</si>
  <si>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</si>
  <si>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</si>
  <si>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</si>
  <si>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</si>
  <si>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</si>
  <si>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</si>
  <si>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</si>
  <si>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</si>
  <si>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</si>
  <si>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</si>
  <si>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</si>
  <si>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</si>
  <si>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</si>
  <si>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</si>
  <si>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</si>
  <si>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</si>
  <si>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</si>
  <si>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</si>
  <si>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</si>
  <si>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</si>
  <si>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</si>
  <si>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</si>
  <si>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</si>
  <si>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</si>
  <si>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</si>
  <si>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</si>
  <si>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</si>
  <si>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</si>
  <si>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</si>
  <si>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</si>
  <si>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</si>
  <si>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</si>
  <si>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</si>
  <si>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</si>
  <si>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</si>
  <si>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</si>
  <si>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</si>
  <si>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</si>
  <si>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</si>
  <si>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</si>
  <si>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</si>
  <si>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</si>
  <si>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</si>
  <si>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</si>
  <si>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</si>
  <si>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</si>
  <si>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</si>
  <si>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</si>
  <si>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</si>
  <si>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</si>
  <si>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</si>
  <si>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</si>
  <si>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</si>
  <si>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</si>
  <si>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</si>
  <si>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</si>
  <si>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</si>
  <si>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</si>
  <si>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</si>
  <si>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</si>
  <si>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</si>
  <si>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</si>
  <si>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</si>
  <si>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</si>
  <si>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</si>
  <si>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</si>
  <si>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</si>
  <si>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</si>
  <si>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</si>
  <si>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</si>
  <si>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</si>
  <si>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</si>
  <si>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</si>
  <si>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</si>
  <si>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</si>
  <si>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</si>
  <si>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</si>
  <si>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</si>
  <si>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</si>
  <si>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</si>
  <si>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</si>
  <si>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</si>
  <si>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</si>
  <si>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</si>
  <si>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</si>
  <si>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</si>
  <si>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</si>
  <si>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</si>
  <si>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</si>
  <si>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</si>
  <si>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</si>
  <si>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</si>
  <si>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</si>
  <si>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</si>
  <si>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</si>
  <si>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</si>
  <si>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</si>
  <si>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</si>
  <si>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</si>
  <si>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</si>
  <si>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</si>
  <si>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</si>
  <si>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</si>
  <si>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</si>
  <si>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</si>
  <si>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</si>
  <si>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</si>
  <si>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</si>
  <si>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</si>
  <si>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</si>
  <si>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</si>
  <si>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</si>
  <si>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</si>
  <si>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</si>
  <si>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</si>
  <si>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</si>
  <si>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</si>
  <si>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</si>
  <si>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</si>
  <si>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</si>
  <si>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</si>
  <si>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</si>
  <si>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</si>
  <si>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</si>
  <si>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</si>
  <si>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</si>
  <si>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</si>
  <si>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</si>
  <si>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</si>
  <si>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</si>
  <si>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</si>
  <si>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</si>
  <si>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</si>
  <si>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</si>
  <si>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</si>
  <si>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</si>
  <si>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</si>
  <si>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</si>
  <si>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</si>
  <si>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</si>
  <si>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</si>
  <si>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</si>
  <si>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</si>
  <si>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</si>
  <si>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</si>
  <si>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</si>
  <si>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</si>
  <si>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</si>
  <si>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</si>
  <si>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</si>
  <si>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</si>
  <si>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</si>
  <si>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</si>
  <si>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</si>
  <si>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</si>
  <si>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</si>
  <si>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</si>
  <si>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</si>
  <si>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</si>
  <si>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</si>
  <si>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</si>
  <si>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</si>
  <si>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</si>
  <si>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</si>
  <si>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</si>
  <si>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</si>
  <si>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</si>
  <si>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</si>
  <si>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</si>
  <si>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</si>
  <si>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</si>
  <si>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</si>
  <si>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</si>
  <si>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</si>
  <si>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</si>
  <si>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</si>
  <si>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</si>
  <si>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</si>
  <si>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</si>
  <si>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</si>
  <si>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</si>
  <si>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</si>
  <si>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</si>
  <si>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</si>
  <si>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</si>
  <si>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</si>
  <si>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</si>
  <si>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</si>
  <si>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</si>
  <si>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</si>
  <si>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</si>
  <si>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</si>
  <si>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</si>
  <si>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</si>
  <si>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</si>
  <si>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</si>
  <si>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</si>
  <si>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</si>
  <si>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</si>
  <si>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</si>
  <si>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</si>
  <si>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</si>
  <si>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</si>
  <si>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</si>
  <si>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</si>
  <si>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</si>
  <si>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</si>
  <si>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</si>
  <si>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</si>
  <si>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</si>
  <si>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</si>
  <si>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</si>
  <si>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</si>
  <si>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</si>
  <si>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</si>
  <si>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</si>
  <si>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</si>
  <si>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</si>
  <si>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</si>
  <si>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</si>
  <si>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</si>
  <si>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</si>
  <si>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</si>
  <si>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</si>
  <si>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</si>
  <si>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</si>
  <si>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</si>
  <si>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</si>
  <si>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</si>
  <si>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</si>
  <si>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</si>
  <si>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</si>
  <si>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</si>
  <si>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</si>
  <si>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</si>
  <si>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</si>
  <si>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</si>
  <si>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</si>
  <si>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</si>
  <si>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</si>
  <si>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</si>
  <si>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</si>
  <si>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</si>
  <si>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</si>
  <si>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</si>
  <si>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</si>
  <si>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</si>
  <si>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</si>
  <si>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</si>
  <si>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</si>
  <si>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</si>
  <si>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</si>
  <si>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</si>
  <si>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</si>
  <si>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</si>
  <si>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</si>
  <si>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</si>
  <si>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</si>
  <si>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</si>
  <si>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</si>
  <si>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</si>
  <si>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</si>
  <si>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</si>
  <si>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</si>
  <si>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</si>
  <si>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</si>
  <si>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</si>
  <si>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</si>
  <si>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</si>
  <si>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</si>
  <si>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</si>
  <si>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</si>
  <si>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</si>
  <si>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</si>
  <si>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</si>
  <si>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</si>
  <si>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</si>
  <si>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</si>
  <si>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</si>
  <si>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</si>
  <si>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</si>
  <si>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</si>
  <si>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</si>
  <si>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</si>
  <si>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</si>
  <si>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</si>
  <si>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</si>
  <si>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</si>
  <si>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</si>
  <si>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</si>
  <si>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</si>
  <si>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地下</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</si>
  <si>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</si>
  <si>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</si>
  <si>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</si>
  <si>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</si>
  <si>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</si>
  <si>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</si>
  <si>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</si>
  <si>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</si>
  <si>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phoneticPr fontId="16" type="noConversion"/>
  </si>
  <si>
    <t>收益法-办公</t>
    <phoneticPr fontId="16" type="noConversion"/>
  </si>
  <si>
    <t>收益法-车库</t>
    <phoneticPr fontId="16" type="noConversion"/>
  </si>
  <si>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</si>
  <si>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</si>
  <si>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</si>
  <si>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</si>
  <si>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</si>
  <si>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</si>
  <si>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</si>
  <si>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</si>
  <si>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</si>
  <si>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</si>
  <si>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</si>
  <si>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</si>
  <si>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</si>
  <si>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</si>
  <si>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</si>
  <si>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</si>
  <si>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</si>
  <si>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</si>
  <si>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</si>
  <si>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</si>
  <si>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</si>
  <si>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</si>
  <si>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</si>
  <si>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</si>
  <si>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</si>
  <si>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</si>
  <si>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</si>
  <si>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</si>
  <si>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</si>
  <si>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工业项目</t>
  </si>
  <si>
    <t>工业</t>
    <phoneticPr fontId="7" type="noConversion"/>
  </si>
  <si>
    <t>收益法</t>
  </si>
  <si>
    <t>收益还原</t>
  </si>
  <si>
    <t>Ⅸ-昌1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</si>
</sst>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估价对象为北京市房地产，为所有。根据《国有土地使用证》[]，估价对象（分摊）出让国有建设用地使用权面积为73586.24平方米，建筑面积为20228.24平方米。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估价对象为北京市房地产,属开发建设的工业项目，该项目尚在开发建设中。根据《国有土地使用证》[]，估价对象（分摊）出让国有建设用地使用权面积为73586.24平方米，规划建筑面积为20228.24平方米。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2024年6月24日</v>
      </c>
    </row>
    <row r="13" spans="1:2" s="1199" customFormat="1">
      <c r="A13" s="1197" t="s">
        <v>528</v>
      </c>
      <c r="B13" s="1198" t="str">
        <f>'预评函-1'!A18</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14901</v>
      </c>
    </row>
    <row r="21" spans="1:2" s="1199" customFormat="1">
      <c r="A21" s="1197" t="s">
        <v>536</v>
      </c>
      <c r="B21" s="1198">
        <f ca="1">'预评函-2'!D7</f>
        <v>7366</v>
      </c>
    </row>
    <row r="22" spans="1:2" s="1199" customFormat="1">
      <c r="A22" s="1197" t="s">
        <v>537</v>
      </c>
      <c r="B22" s="1198" t="str">
        <f ca="1">'预评函-2'!D6</f>
        <v>壹亿肆仟玖佰零壹万元整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14901</v>
      </c>
    </row>
    <row r="31" spans="1:2" s="1199" customFormat="1">
      <c r="A31" s="1197" t="s">
        <v>575</v>
      </c>
      <c r="B31" s="1198">
        <f ca="1">'预评函-2'!D15</f>
        <v>7366</v>
      </c>
    </row>
    <row r="32" spans="1:2" s="1199" customFormat="1">
      <c r="A32" s="1197" t="s">
        <v>542</v>
      </c>
      <c r="B32" s="1198" t="str">
        <f ca="1">'预评函-2'!D14</f>
        <v>壹亿肆仟玖佰零壹万元整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14099</v>
      </c>
    </row>
    <row r="39" spans="1:2" s="1199" customFormat="1">
      <c r="A39" s="1197" t="s">
        <v>544</v>
      </c>
      <c r="B39" s="1198">
        <f ca="1">'预评函-2'!D21</f>
        <v>6970</v>
      </c>
    </row>
    <row r="40" spans="1:2" s="1199" customFormat="1">
      <c r="A40" s="1197" t="s">
        <v>545</v>
      </c>
      <c r="B40" s="1198" t="str">
        <f ca="1">'预评函-2'!D20</f>
        <v>壹亿肆仟零玖拾玖万元整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20228.239999999998</v>
      </c>
    </row>
    <row r="44" spans="1:2" s="1199" customFormat="1">
      <c r="A44" s="1197" t="s">
        <v>574</v>
      </c>
      <c r="B44" s="1198" t="str">
        <f>'预评函-3'!C2</f>
        <v>(分摊)土地面积</v>
      </c>
    </row>
    <row r="45" spans="1:2" s="1199" customFormat="1">
      <c r="A45" s="1197" t="s">
        <v>546</v>
      </c>
      <c r="B45" s="1198">
        <f>'预评函-3'!C4</f>
        <v>73586.240000000005</v>
      </c>
    </row>
    <row r="46" spans="1:2" s="1199" customFormat="1">
      <c r="A46" s="1197" t="s">
        <v>572</v>
      </c>
      <c r="B46" s="1198" t="str">
        <f>'预评函-3'!D2</f>
        <v>出让国有建设用地使用权价值</v>
      </c>
    </row>
    <row r="47" spans="1:2" s="1199" customFormat="1">
      <c r="A47" s="1197" t="s">
        <v>547</v>
      </c>
      <c r="B47" s="1198">
        <f ca="1">'预评函-3'!D4</f>
        <v>9656</v>
      </c>
    </row>
    <row r="48" spans="1:2" s="1199" customFormat="1">
      <c r="A48" s="1197" t="s">
        <v>548</v>
      </c>
      <c r="B48" s="1198">
        <f ca="1">'预评函-3'!E4</f>
        <v>4773</v>
      </c>
    </row>
    <row r="49" spans="1:2" s="1199" customFormat="1">
      <c r="A49" s="1197" t="s">
        <v>549</v>
      </c>
      <c r="B49" s="1198" t="str">
        <f ca="1">'预评函-3'!D5</f>
        <v>玖仟陆佰伍拾陆万元整</v>
      </c>
    </row>
    <row r="50" spans="1:2" s="1199" customFormat="1">
      <c r="A50" s="1197" t="s">
        <v>573</v>
      </c>
      <c r="B50" s="1198" t="str">
        <f>'预评函-3'!F2</f>
        <v>在建建筑物价值</v>
      </c>
    </row>
    <row r="51" spans="1:2" s="1199" customFormat="1">
      <c r="A51" s="1197" t="s">
        <v>550</v>
      </c>
      <c r="B51" s="1198">
        <f ca="1">'预评函-3'!F4</f>
        <v>5245</v>
      </c>
    </row>
    <row r="52" spans="1:2" s="1199" customFormat="1">
      <c r="A52" s="1197" t="s">
        <v>551</v>
      </c>
      <c r="B52" s="1198">
        <f ca="1">'预评函-3'!G4</f>
        <v>2593</v>
      </c>
    </row>
    <row r="53" spans="1:2" s="1199" customFormat="1">
      <c r="A53" s="1197" t="s">
        <v>579</v>
      </c>
      <c r="B53" s="1198" t="str">
        <f ca="1">'预评函-3'!F5</f>
        <v>伍仟贰佰肆拾伍万元整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3460</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3461</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3462</v>
      </c>
      <c r="C16" s="1543"/>
    </row>
    <row r="17" spans="1:3">
      <c r="A17" s="1542" t="s">
        <v>1042</v>
      </c>
      <c r="B17" s="1542" t="s">
        <v>2288</v>
      </c>
      <c r="C17" s="1543"/>
    </row>
    <row r="18" spans="1:3">
      <c r="A18" s="1542" t="s">
        <v>1043</v>
      </c>
      <c r="B18" s="1542" t="s">
        <v>2432</v>
      </c>
      <c r="C18" s="1543"/>
    </row>
    <row r="19" spans="1:3">
      <c r="A19" s="1542" t="s">
        <v>1044</v>
      </c>
      <c r="B19" s="1542" t="s">
        <v>3466</v>
      </c>
      <c r="C19" s="1543"/>
    </row>
    <row r="20" spans="1:3">
      <c r="A20" s="1542" t="s">
        <v>1045</v>
      </c>
      <c r="B20" s="1542" t="s">
        <v>3465</v>
      </c>
      <c r="C20" s="1543"/>
    </row>
    <row r="21" spans="1:3">
      <c r="A21" s="1542" t="s">
        <v>1046</v>
      </c>
      <c r="B21" s="1542" t="s">
        <v>3467</v>
      </c>
      <c r="C21" s="1543"/>
    </row>
    <row r="22" spans="1:3">
      <c r="A22" s="1542" t="s">
        <v>1047</v>
      </c>
      <c r="B22" s="1542" t="s">
        <v>3468</v>
      </c>
      <c r="C22" s="1543"/>
    </row>
    <row r="23" spans="1:3">
      <c r="A23" s="1542" t="s">
        <v>1048</v>
      </c>
      <c r="B23" s="1542" t="s">
        <v>3469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7"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0" t="s">
        <v>384</v>
      </c>
      <c r="C54" s="1547" t="s">
        <v>582</v>
      </c>
    </row>
    <row r="55" spans="1:4">
      <c r="A55" s="3557"/>
      <c r="B55" s="1550" t="s">
        <v>385</v>
      </c>
      <c r="C55" s="1547" t="s">
        <v>583</v>
      </c>
    </row>
    <row r="56" spans="1:4">
      <c r="A56" s="3557"/>
      <c r="B56" s="1550" t="s">
        <v>386</v>
      </c>
      <c r="C56" s="1547" t="s">
        <v>587</v>
      </c>
    </row>
    <row r="57" spans="1:4">
      <c r="A57" s="3557"/>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8" t="s">
        <v>2579</v>
      </c>
      <c r="J2" s="3558"/>
      <c r="K2" s="3558"/>
      <c r="L2" s="3558"/>
      <c r="M2" s="3558"/>
      <c r="N2" s="3558"/>
      <c r="O2" s="3558"/>
      <c r="P2" s="3558"/>
      <c r="Q2" s="3558"/>
      <c r="R2" s="3558"/>
    </row>
    <row r="3" spans="1:18">
      <c r="A3" s="3016" t="s">
        <v>2500</v>
      </c>
      <c r="B3" s="3017">
        <f>项目基本情况!D3</f>
        <v>45467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9" t="str">
        <f>IF(B10="北京市","北京市",C10)&amp;F10&amp;IF(结果表!G1="在建","出让国有建设用地使用权及在建建筑物",IF(结果表!G1="土地","出让国有建设用地使用权",))&amp;B9&amp;"预评估"</f>
        <v>北京市房地产抵押价值预评估</v>
      </c>
      <c r="C1" s="3560"/>
      <c r="D1" s="3560"/>
      <c r="E1" s="3560"/>
      <c r="F1" s="3560"/>
      <c r="G1" s="3560"/>
      <c r="H1" s="3560"/>
      <c r="I1" s="3561"/>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2"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3"/>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c r="E13" s="852"/>
      <c r="F13" s="852"/>
      <c r="G13" s="852"/>
      <c r="H13" s="852">
        <v>56926</v>
      </c>
      <c r="I13" s="852"/>
      <c r="J13" s="3058"/>
      <c r="K13" s="2609"/>
      <c r="L13" s="2609"/>
      <c r="M13" s="2435"/>
      <c r="N13" s="2446"/>
      <c r="O13" s="2435"/>
      <c r="P13" s="2435"/>
      <c r="Q13" s="2435"/>
      <c r="AD13" s="1741"/>
    </row>
    <row r="14" spans="1:30">
      <c r="A14" s="1077"/>
      <c r="B14" s="2403" t="s">
        <v>2186</v>
      </c>
      <c r="C14" s="2404"/>
      <c r="D14" s="2404"/>
      <c r="E14" s="2404"/>
      <c r="F14" s="2404"/>
      <c r="G14" s="2404"/>
      <c r="H14" s="2404">
        <v>50</v>
      </c>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31.39</v>
      </c>
      <c r="I15" s="2406" t="str">
        <f>IF(A13="出让",IF(I13="","",ROUNDDOWN(MIN((I13-$D$3)/365,I14),2)),I14)</f>
        <v/>
      </c>
      <c r="J15" s="3060"/>
      <c r="K15" s="2447"/>
      <c r="L15" s="2447"/>
      <c r="M15" s="2505"/>
      <c r="N15" s="2447"/>
      <c r="O15" s="2505"/>
      <c r="P15" s="2435"/>
      <c r="Q15" s="2435"/>
      <c r="AD15" s="1741"/>
    </row>
    <row r="16" spans="1:30">
      <c r="A16" s="2396" t="s">
        <v>2188</v>
      </c>
      <c r="B16" s="3569"/>
      <c r="C16" s="3570"/>
      <c r="D16" s="3571"/>
      <c r="E16" s="2409" t="s">
        <v>2189</v>
      </c>
      <c r="F16" s="3572"/>
      <c r="G16" s="3573"/>
      <c r="H16" s="3573"/>
      <c r="I16" s="3574"/>
      <c r="J16" s="2435"/>
      <c r="K16" s="2613"/>
      <c r="L16" s="2447"/>
      <c r="M16" s="2447"/>
      <c r="N16" s="2505"/>
      <c r="O16" s="2447"/>
      <c r="P16" s="2505"/>
      <c r="Q16" s="2435"/>
      <c r="R16" s="2435"/>
    </row>
    <row r="17" spans="1:28">
      <c r="A17" s="313" t="s">
        <v>2190</v>
      </c>
      <c r="B17" s="302" t="s">
        <v>2191</v>
      </c>
      <c r="C17" s="8">
        <f>'数据-汇总表'!E3</f>
        <v>20228.239999999998</v>
      </c>
      <c r="D17" s="2318" t="s">
        <v>2192</v>
      </c>
      <c r="E17" s="3575" t="s">
        <v>2193</v>
      </c>
      <c r="F17" s="3576"/>
      <c r="G17" s="3576"/>
      <c r="H17" s="3576"/>
      <c r="I17" s="3577"/>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73586.240000000005</v>
      </c>
      <c r="D18" s="1088" t="s">
        <v>2196</v>
      </c>
      <c r="E18" s="3578" t="s">
        <v>2197</v>
      </c>
      <c r="F18" s="3579"/>
      <c r="G18" s="3579"/>
      <c r="H18" s="3579"/>
      <c r="I18" s="3580"/>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5" t="s">
        <v>2201</v>
      </c>
      <c r="C20" s="3566"/>
      <c r="D20" s="3567" t="s">
        <v>2202</v>
      </c>
      <c r="E20" s="3568"/>
      <c r="F20" s="2643" t="s">
        <v>1053</v>
      </c>
      <c r="G20" s="2660"/>
      <c r="H20" s="2660"/>
      <c r="I20" s="2660"/>
      <c r="J20" s="2435"/>
      <c r="K20" s="3564"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2" t="s">
        <v>2209</v>
      </c>
      <c r="B27" s="320" t="s">
        <v>2210</v>
      </c>
      <c r="C27" s="2412" t="s">
        <v>3499</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2"/>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2"/>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3"/>
      <c r="B30" s="302" t="s">
        <v>2213</v>
      </c>
      <c r="C30" s="3584"/>
      <c r="D30" s="3585"/>
      <c r="E30" s="2660"/>
      <c r="F30" s="2660"/>
      <c r="G30" s="2660"/>
      <c r="H30" s="2660"/>
      <c r="I30" s="2660"/>
      <c r="J30" s="2435"/>
      <c r="K30" s="2612"/>
      <c r="L30" s="2609"/>
      <c r="M30" s="2609"/>
      <c r="N30" s="2435"/>
      <c r="O30" s="2446"/>
      <c r="P30" s="2435"/>
      <c r="Q30" s="2435"/>
      <c r="R30" s="2435"/>
      <c r="S30" s="2435"/>
      <c r="T30" s="2435"/>
      <c r="U30" s="2435"/>
      <c r="V30" s="2435"/>
    </row>
    <row r="31" spans="1:28">
      <c r="A31" s="3586"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7"/>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7"/>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1" t="s">
        <v>2223</v>
      </c>
      <c r="T34" s="2424" t="str">
        <f>NUMBERSTRING(7-K34,1)&amp;"通"</f>
        <v>七通</v>
      </c>
      <c r="U34" s="2435"/>
      <c r="V34" s="2435"/>
    </row>
    <row r="35" spans="1:30">
      <c r="A35" s="2425"/>
      <c r="B35" s="3588" t="s">
        <v>2224</v>
      </c>
      <c r="C35" s="3588"/>
      <c r="D35" s="3588"/>
      <c r="E35" s="3588"/>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1"/>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c r="D38" s="2428"/>
      <c r="E38" s="2428" t="s">
        <v>3503</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73586.240000000005</v>
      </c>
      <c r="B3" s="11">
        <f>IF(C3="否",G5-AT5,G5)</f>
        <v>20228.239999999998</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20228.239999999998</v>
      </c>
      <c r="H5" s="13">
        <f t="shared" ref="H5:AT5" si="0">SUM(H13:H656)</f>
        <v>20228.239999999998</v>
      </c>
      <c r="I5" s="13">
        <f t="shared" si="0"/>
        <v>19982.989999999998</v>
      </c>
      <c r="J5" s="13">
        <f t="shared" si="0"/>
        <v>0</v>
      </c>
      <c r="K5" s="13">
        <f t="shared" si="0"/>
        <v>245.25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20228.239999999998</v>
      </c>
      <c r="BA5" s="15">
        <f t="shared" si="1"/>
        <v>20228.239999999998</v>
      </c>
      <c r="BB5" s="15">
        <f t="shared" si="1"/>
        <v>19982.989999999998</v>
      </c>
      <c r="BC5" s="15">
        <f t="shared" si="1"/>
        <v>245.25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1069</v>
      </c>
      <c r="B6" s="1582"/>
      <c r="C6" s="1582"/>
      <c r="D6" s="1583"/>
      <c r="E6" s="13">
        <f>H6+AC6+AT6</f>
        <v>73586.240000000005</v>
      </c>
      <c r="F6" s="13" t="s">
        <v>0</v>
      </c>
      <c r="G6" s="13" t="s">
        <v>1</v>
      </c>
      <c r="H6" s="17">
        <f>SUMIF(I$12:AB$12,"总值",I6:AB6)</f>
        <v>73586.240000000005</v>
      </c>
      <c r="I6" s="13">
        <f t="shared" ref="I6:AB6" si="2">ROUND($A$3*I5/$B$3,2)</f>
        <v>72694.070000000007</v>
      </c>
      <c r="J6" s="13">
        <f t="shared" si="2"/>
        <v>0</v>
      </c>
      <c r="K6" s="13">
        <f t="shared" si="2"/>
        <v>892.17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73586.240000000005</v>
      </c>
      <c r="AZ6" s="13" t="s">
        <v>2</v>
      </c>
      <c r="BA6" s="13">
        <f>ROUND($AY$6*BA5/$AZ$5,2)</f>
        <v>73586.240000000005</v>
      </c>
      <c r="BB6" s="13">
        <f>ROUND($AY$6*BB5/$AZ$5,2)</f>
        <v>72694.070000000007</v>
      </c>
      <c r="BC6" s="13">
        <f t="shared" ref="BC6:BH6" si="4">ROUND($AY$6*BC5/$AZ$5,2)</f>
        <v>892.17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3458</v>
      </c>
      <c r="L9" s="805"/>
      <c r="M9" s="1599"/>
      <c r="N9" s="805"/>
      <c r="O9" s="1599"/>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t="s">
        <v>3</v>
      </c>
      <c r="L10" s="805"/>
      <c r="M10" s="1605"/>
      <c r="N10" s="805"/>
      <c r="O10" s="1605"/>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地下</v>
      </c>
      <c r="BD10" s="26">
        <f>M9</f>
        <v>0</v>
      </c>
      <c r="BE10" s="26">
        <f>O9</f>
        <v>0</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t="str">
        <f>K10</f>
        <v>工业</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13229.21</v>
      </c>
      <c r="F13" s="29"/>
      <c r="G13" s="30">
        <f>H13+AC13+AT13</f>
        <v>3636.6</v>
      </c>
      <c r="H13" s="17">
        <f>SUMIF(I$12:AB$12,"总值",I13:AB13)</f>
        <v>3636.6</v>
      </c>
      <c r="I13" s="1622">
        <f>Sheet1!B2</f>
        <v>3636.6</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v>
      </c>
      <c r="AY13" s="1345">
        <f>ROUND($AY$6*AZ13/$AZ$5,2)</f>
        <v>13229.21</v>
      </c>
      <c r="AZ13" s="13">
        <f>BA13+BL13</f>
        <v>3636.6</v>
      </c>
      <c r="BA13" s="13">
        <f>SUM(BB13:BK13)</f>
        <v>3636.6</v>
      </c>
      <c r="BB13" s="13">
        <f>IF($D13="是",I13-J13,0)</f>
        <v>3636.6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1001.85</v>
      </c>
      <c r="F14" s="29"/>
      <c r="G14" s="30">
        <f>H14+AC14+AT14</f>
        <v>275.39999999999998</v>
      </c>
      <c r="H14" s="17">
        <f>SUMIF(I$12:AB$12,"总值",I14:AB14)</f>
        <v>275.39999999999998</v>
      </c>
      <c r="I14" s="1622">
        <f>Sheet1!B3</f>
        <v>275.39999999999998</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1001.85</v>
      </c>
      <c r="AZ14" s="13">
        <f>BA14+BL14</f>
        <v>275.39999999999998</v>
      </c>
      <c r="BA14" s="13">
        <f>SUM(BB14:BK14)</f>
        <v>275.39999999999998</v>
      </c>
      <c r="BB14" s="13">
        <f>IF($D14="是",I14-J14,0)</f>
        <v>275.39999999999998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2568.29</v>
      </c>
      <c r="F15" s="29"/>
      <c r="G15" s="30">
        <f>H15+AC15+AT15</f>
        <v>706</v>
      </c>
      <c r="H15" s="17">
        <f>SUMIF(I$12:AB$12,"总值",I15:AB15)</f>
        <v>706</v>
      </c>
      <c r="I15" s="1622">
        <f>Sheet1!B4</f>
        <v>706</v>
      </c>
      <c r="J15" s="1622"/>
      <c r="K15" s="1622"/>
      <c r="L15" s="1622"/>
      <c r="M15" s="3508"/>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3</v>
      </c>
      <c r="AY15" s="1345">
        <f>ROUND($AY$6*AZ15/$AZ$5,2)</f>
        <v>2568.29</v>
      </c>
      <c r="AZ15" s="13">
        <f>BA15+BL15</f>
        <v>706</v>
      </c>
      <c r="BA15" s="13">
        <f>SUM(BB15:BK15)</f>
        <v>706</v>
      </c>
      <c r="BB15" s="13">
        <f>IF($D15="是",I15-J15,0)</f>
        <v>706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047">
        <v>4</v>
      </c>
      <c r="D16" s="1621" t="s">
        <v>3387</v>
      </c>
      <c r="E16" s="13">
        <f>IF($C$3="是",ROUND($A$3*G16/$B$3,2),ROUND($A$3*(G16-AT16)/$B$3,2))</f>
        <v>13377.64</v>
      </c>
      <c r="F16" s="29"/>
      <c r="G16" s="30">
        <f>H16+AC16+AT16</f>
        <v>3677.4</v>
      </c>
      <c r="H16" s="17">
        <f>SUMIF(I$12:AB$12,"总值",I16:AB16)</f>
        <v>3677.4</v>
      </c>
      <c r="I16" s="1622">
        <f>Sheet1!B5</f>
        <v>3677.4</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4</v>
      </c>
      <c r="AY16" s="1345">
        <f>ROUND($AY$6*AZ16/$AZ$5,2)</f>
        <v>13377.64</v>
      </c>
      <c r="AZ16" s="13">
        <f>BA16+BL16</f>
        <v>3677.4</v>
      </c>
      <c r="BA16" s="13">
        <f>SUM(BB16:BK16)</f>
        <v>3677.4</v>
      </c>
      <c r="BB16" s="13">
        <f>IF($D16="是",I16-J16,0)</f>
        <v>3677.4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v>5</v>
      </c>
      <c r="D17" s="1621" t="s">
        <v>3387</v>
      </c>
      <c r="E17" s="13">
        <f>IF($C$3="是",ROUND($A$3*G17/$B$3,2),ROUND($A$3*(G17-AT17)/$B$3,2))</f>
        <v>11961.08</v>
      </c>
      <c r="F17" s="29"/>
      <c r="G17" s="30">
        <f>H17+AC17+AT17</f>
        <v>3288</v>
      </c>
      <c r="H17" s="17">
        <f>SUMIF(I$12:AB$12,"总值",I17:AB17)</f>
        <v>3288</v>
      </c>
      <c r="I17" s="1622">
        <f>Sheet1!B6</f>
        <v>3288</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5</v>
      </c>
      <c r="AY17" s="1345">
        <f>ROUND($AY$6*AZ17/$AZ$5,2)</f>
        <v>11961.08</v>
      </c>
      <c r="AZ17" s="13">
        <f>BA17+BL17</f>
        <v>3288</v>
      </c>
      <c r="BA17" s="13">
        <f>SUM(BB17:BK17)</f>
        <v>3288</v>
      </c>
      <c r="BB17" s="13">
        <f>IF($D17="是",I17-J17,0)</f>
        <v>3288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v>6</v>
      </c>
      <c r="D18" s="1621" t="s">
        <v>3387</v>
      </c>
      <c r="E18" s="32">
        <f t="shared" ref="E18:E112" si="7">IF($C$3="是",ROUND($A$3*G18/$B$3,2),ROUND($A$3*(G18-AT18)/$B$3,2))</f>
        <v>18808.29</v>
      </c>
      <c r="F18" s="33"/>
      <c r="G18" s="34">
        <f t="shared" ref="G18:G109" si="8">H18+AC18+AT18</f>
        <v>5170.24</v>
      </c>
      <c r="H18" s="35">
        <f t="shared" ref="H18:H109" si="9">SUMIF(I$12:AB$12,"总值",I18:AB18)</f>
        <v>5170.24</v>
      </c>
      <c r="I18" s="1622">
        <f>Sheet1!B7</f>
        <v>5170.24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6</v>
      </c>
      <c r="AY18" s="39">
        <f t="shared" ref="AY18:AY109" si="14">ROUND($AY$6*AZ18/$AZ$5,2)</f>
        <v>18808.29</v>
      </c>
      <c r="AZ18" s="32">
        <f t="shared" ref="AZ18:AZ109" si="15">BA18+BL18</f>
        <v>5170.24</v>
      </c>
      <c r="BA18" s="32">
        <f t="shared" ref="BA18:BA109" si="16">SUM(BB18:BK18)</f>
        <v>5170.24</v>
      </c>
      <c r="BB18" s="32">
        <f t="shared" ref="BB18:BB109" si="17">IF($D18="是",I18-J18,0)</f>
        <v>5170.24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v>7</v>
      </c>
      <c r="D19" s="1621" t="s">
        <v>3387</v>
      </c>
      <c r="E19" s="32">
        <f t="shared" si="7"/>
        <v>12639.89</v>
      </c>
      <c r="F19" s="33"/>
      <c r="G19" s="34">
        <f t="shared" si="8"/>
        <v>3474.6</v>
      </c>
      <c r="H19" s="35">
        <f t="shared" si="9"/>
        <v>3474.6</v>
      </c>
      <c r="I19" s="1622">
        <f>Sheet1!B8</f>
        <v>3229.35</v>
      </c>
      <c r="J19" s="36"/>
      <c r="K19" s="36">
        <f>Sheet1!C8</f>
        <v>245.25</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7</v>
      </c>
      <c r="AY19" s="39">
        <f t="shared" si="14"/>
        <v>12639.89</v>
      </c>
      <c r="AZ19" s="32">
        <f t="shared" si="15"/>
        <v>3474.6</v>
      </c>
      <c r="BA19" s="32">
        <f t="shared" si="16"/>
        <v>3474.6</v>
      </c>
      <c r="BB19" s="32">
        <f t="shared" si="17"/>
        <v>3229.35</v>
      </c>
      <c r="BC19" s="32">
        <f t="shared" si="18"/>
        <v>245.25</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J17" sqref="J17"/>
    </sheetView>
  </sheetViews>
  <sheetFormatPr defaultRowHeight="13.5"/>
  <cols>
    <col min="6" max="7" width="14.875" customWidth="1"/>
  </cols>
  <sheetData>
    <row r="1" spans="1:13">
      <c r="B1" s="3509" t="s">
        <v>3488</v>
      </c>
      <c r="E1" s="3509" t="s">
        <v>3489</v>
      </c>
      <c r="F1" s="3509" t="s">
        <v>3496</v>
      </c>
      <c r="G1" s="3509" t="s">
        <v>3497</v>
      </c>
      <c r="H1" s="3509" t="s">
        <v>3495</v>
      </c>
      <c r="I1" s="3509" t="s">
        <v>3493</v>
      </c>
      <c r="J1" s="3509" t="s">
        <v>3494</v>
      </c>
      <c r="K1" s="3509" t="s">
        <v>3487</v>
      </c>
    </row>
    <row r="2" spans="1:13">
      <c r="A2" s="3509" t="s">
        <v>3483</v>
      </c>
      <c r="B2">
        <v>15550.94</v>
      </c>
      <c r="D2" s="3509" t="s">
        <v>3490</v>
      </c>
      <c r="E2">
        <f>SUM(F2:K2)</f>
        <v>33759.019999999997</v>
      </c>
      <c r="F2">
        <f>33759.02-G2-H2</f>
        <v>13070.739999999998</v>
      </c>
      <c r="G2">
        <f>ROUND(B4/B10*E10,2)</f>
        <v>20688.28</v>
      </c>
      <c r="H2">
        <f>'数据-基础表'!AL13</f>
        <v>0</v>
      </c>
    </row>
    <row r="3" spans="1:13">
      <c r="A3" s="3509" t="s">
        <v>3484</v>
      </c>
      <c r="B3">
        <v>3617.18</v>
      </c>
      <c r="D3" s="3509" t="s">
        <v>3491</v>
      </c>
      <c r="E3">
        <f>SUM(F3:K3)</f>
        <v>0</v>
      </c>
      <c r="F3">
        <f>'数据-基础表'!K14</f>
        <v>0</v>
      </c>
    </row>
    <row r="4" spans="1:13">
      <c r="A4" s="3509" t="s">
        <v>3485</v>
      </c>
      <c r="B4">
        <v>20549.52</v>
      </c>
      <c r="D4" s="3509" t="s">
        <v>3492</v>
      </c>
      <c r="E4">
        <f>SUM(F4:K4)</f>
        <v>15404.58</v>
      </c>
      <c r="H4">
        <v>92.98</v>
      </c>
      <c r="I4">
        <f>B3</f>
        <v>3617.18</v>
      </c>
      <c r="J4">
        <f>B5</f>
        <v>7662.36</v>
      </c>
      <c r="K4">
        <f>M4-I4-J4-H4</f>
        <v>4032.06</v>
      </c>
      <c r="M4">
        <v>15404.58</v>
      </c>
    </row>
    <row r="5" spans="1:13">
      <c r="A5" s="3509" t="s">
        <v>3486</v>
      </c>
      <c r="B5">
        <v>7662.36</v>
      </c>
    </row>
    <row r="6" spans="1:13">
      <c r="B6">
        <f>SUM(B2:B5)</f>
        <v>47380</v>
      </c>
    </row>
    <row r="7" spans="1:13">
      <c r="A7" s="3509" t="s">
        <v>3487</v>
      </c>
      <c r="B7">
        <f>13840.42-B3-B5</f>
        <v>2560.88</v>
      </c>
    </row>
    <row r="10" spans="1:13">
      <c r="B10">
        <f>B6+B7</f>
        <v>49940.88</v>
      </c>
      <c r="E10">
        <f>33759.02+1114.5+15404.58</f>
        <v>50278.1</v>
      </c>
    </row>
    <row r="12" spans="1:13">
      <c r="I12">
        <f>J4+4498.41</f>
        <v>12160.77</v>
      </c>
      <c r="J12">
        <f>J4/I12*437</f>
        <v>275.34862677281126</v>
      </c>
    </row>
    <row r="13" spans="1:13">
      <c r="I13" t="e">
        <f>I12/'数据-取费表'!AH8</f>
        <v>#DIV/0!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K18" sqref="K1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8" t="s">
        <v>1128</v>
      </c>
      <c r="B2" s="3598"/>
      <c r="C2" s="3598"/>
      <c r="D2" s="792" t="s">
        <v>1104</v>
      </c>
      <c r="E2" s="1635" t="s">
        <v>1105</v>
      </c>
      <c r="F2" s="2655"/>
      <c r="G2" s="2646"/>
      <c r="H2" s="2647"/>
      <c r="I2" s="2321" t="s">
        <v>1129</v>
      </c>
      <c r="J2" s="2655"/>
      <c r="K2" s="2655"/>
      <c r="L2" s="2655"/>
      <c r="M2" s="2655"/>
      <c r="N2" s="2657"/>
      <c r="O2" s="2655"/>
      <c r="P2" s="2655"/>
    </row>
    <row r="3" spans="1:16" ht="15.75" thickBot="1">
      <c r="A3" s="3599" t="s">
        <v>1102</v>
      </c>
      <c r="B3" s="3599"/>
      <c r="C3" s="3599"/>
      <c r="D3" s="43">
        <f>'数据-基础表'!AY6</f>
        <v>73586.240000000005</v>
      </c>
      <c r="E3" s="43">
        <f>'数据-基础表'!AZ5</f>
        <v>20228.239999999998</v>
      </c>
      <c r="F3" s="2655"/>
      <c r="G3" s="1141"/>
      <c r="H3" s="1022" t="s">
        <v>1103</v>
      </c>
      <c r="I3" s="851">
        <f>ROUND('数据-基础表'!B3/'数据-基础表'!A3,2)</f>
        <v>0.27</v>
      </c>
      <c r="J3" s="2655"/>
      <c r="K3" s="2655"/>
      <c r="L3" s="2655"/>
      <c r="M3" s="2655"/>
      <c r="N3" s="2657"/>
      <c r="O3" s="2655"/>
      <c r="P3" s="2655"/>
    </row>
    <row r="4" spans="1:16" ht="15">
      <c r="A4" s="3600"/>
      <c r="B4" s="3601"/>
      <c r="C4" s="3602"/>
      <c r="D4" s="1637" t="s">
        <v>1104</v>
      </c>
      <c r="E4" s="1638" t="s">
        <v>1105</v>
      </c>
      <c r="F4" s="2655"/>
      <c r="G4" s="2648" t="s">
        <v>1130</v>
      </c>
      <c r="H4" s="1022" t="s">
        <v>1110</v>
      </c>
      <c r="I4" s="851">
        <f>ROUND(SUMIF('数据-基础表'!I9:AS9,"地上",'数据-基础表'!I5:AS5)/'数据-基础表'!A3,2)</f>
        <v>0.27</v>
      </c>
      <c r="J4" s="2655"/>
      <c r="K4" s="2655"/>
      <c r="L4" s="2655"/>
      <c r="M4" s="2655"/>
      <c r="N4" s="2657"/>
      <c r="O4" s="2655"/>
      <c r="P4" s="2655"/>
    </row>
    <row r="5" spans="1:16">
      <c r="A5" s="44" t="s">
        <v>1106</v>
      </c>
      <c r="B5" s="3603" t="s">
        <v>1107</v>
      </c>
      <c r="C5" s="3603"/>
      <c r="D5" s="45">
        <f>ROUND($D$3*E5/$E$3,2)</f>
        <v>0</v>
      </c>
      <c r="E5" s="46">
        <f>SUMIF('数据-基础表'!$11:$11,"住宅",'数据-基础表'!$5:$5)</f>
        <v>0</v>
      </c>
      <c r="F5" s="2655"/>
      <c r="G5" s="1141"/>
      <c r="H5" s="1022" t="s">
        <v>1103</v>
      </c>
      <c r="I5" s="851">
        <f>ROUND(E31/D31,2)</f>
        <v>0.27</v>
      </c>
      <c r="J5" s="2655"/>
      <c r="K5" s="2655"/>
      <c r="L5" s="2655"/>
      <c r="M5" s="2655"/>
      <c r="N5" s="2655"/>
      <c r="O5" s="2655"/>
      <c r="P5" s="2655"/>
    </row>
    <row r="6" spans="1:16" ht="15" thickBot="1">
      <c r="A6" s="1640"/>
      <c r="B6" s="3603" t="s">
        <v>1108</v>
      </c>
      <c r="C6" s="3603"/>
      <c r="D6" s="45">
        <f>ROUND($D$3*E6/$E$3,2)</f>
        <v>73586.240000000005</v>
      </c>
      <c r="E6" s="46">
        <f>E3-E5</f>
        <v>20228.239999999998</v>
      </c>
      <c r="F6" s="2655"/>
      <c r="G6" s="2649" t="s">
        <v>1109</v>
      </c>
      <c r="H6" s="1142" t="s">
        <v>1110</v>
      </c>
      <c r="I6" s="2650">
        <f>ROUND(F31/D31,2)</f>
        <v>0.27</v>
      </c>
      <c r="J6" s="2655"/>
      <c r="K6" s="2655"/>
      <c r="L6" s="2655"/>
      <c r="M6" s="2655"/>
      <c r="N6" s="2655"/>
      <c r="O6" s="2655"/>
      <c r="P6" s="2655"/>
    </row>
    <row r="7" spans="1:16" ht="15.75" thickBot="1">
      <c r="A7" s="3595"/>
      <c r="B7" s="3596"/>
      <c r="C7" s="3597"/>
      <c r="D7" s="1637" t="s">
        <v>1104</v>
      </c>
      <c r="E7" s="1641" t="s">
        <v>1111</v>
      </c>
      <c r="F7" s="2655"/>
      <c r="G7" s="2651" t="s">
        <v>1112</v>
      </c>
      <c r="H7" s="2652"/>
      <c r="I7" s="2653">
        <v>1</v>
      </c>
      <c r="J7" s="2655"/>
      <c r="K7" s="2655"/>
      <c r="L7" s="2655"/>
      <c r="M7" s="2655"/>
      <c r="N7" s="2655"/>
      <c r="O7" s="2655"/>
      <c r="P7" s="2655"/>
    </row>
    <row r="8" spans="1:16">
      <c r="A8" s="44" t="s">
        <v>1113</v>
      </c>
      <c r="B8" s="47" t="s">
        <v>1114</v>
      </c>
      <c r="C8" s="45" t="s">
        <v>1115</v>
      </c>
      <c r="D8" s="45">
        <f t="shared" ref="D8:D15" si="0">ROUND($D$3*E8/$E$3,2)</f>
        <v>72694.070000000007</v>
      </c>
      <c r="E8" s="48">
        <f>SUMIF('数据-基础表'!BB10:BK10,"地上",'数据-基础表'!BB5:BK5)</f>
        <v>19982.989999999998</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1120</v>
      </c>
      <c r="D16" s="47">
        <f>SUM(D8:D15)</f>
        <v>72694.070000000007</v>
      </c>
      <c r="E16" s="50">
        <f>SUM(E8:E15)</f>
        <v>19982.989999999998</v>
      </c>
      <c r="F16" s="2655"/>
      <c r="G16" s="2656"/>
      <c r="H16" s="1644" t="s">
        <v>1132</v>
      </c>
      <c r="I16" s="1645"/>
      <c r="J16" s="1135"/>
      <c r="K16" s="3592" t="s">
        <v>1132</v>
      </c>
      <c r="L16" s="3593"/>
      <c r="M16" s="3593"/>
      <c r="N16" s="3593"/>
      <c r="O16" s="3593"/>
      <c r="P16" s="3594"/>
    </row>
    <row r="17" spans="1:19" ht="15">
      <c r="A17" s="1646" t="s">
        <v>1133</v>
      </c>
      <c r="B17" s="1647" t="s">
        <v>1134</v>
      </c>
      <c r="C17" s="1648" t="s">
        <v>1135</v>
      </c>
      <c r="D17" s="1649" t="s">
        <v>1123</v>
      </c>
      <c r="E17" s="1650" t="s">
        <v>1124</v>
      </c>
      <c r="F17" s="1651"/>
      <c r="G17" s="1652"/>
      <c r="H17" s="1653" t="s">
        <v>1136</v>
      </c>
      <c r="I17" s="1654" t="s">
        <v>1121</v>
      </c>
      <c r="J17" s="1135"/>
      <c r="K17" s="3589" t="s">
        <v>1137</v>
      </c>
      <c r="L17" s="3590"/>
      <c r="M17" s="3591"/>
      <c r="N17" s="3589" t="s">
        <v>1138</v>
      </c>
      <c r="O17" s="3590"/>
      <c r="P17" s="3591"/>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3500</v>
      </c>
      <c r="D19" s="45">
        <f>ROUND($D$3*E19/$E$3,2)</f>
        <v>73586.240000000005</v>
      </c>
      <c r="E19" s="53">
        <f t="shared" ref="E19:E26" si="1">SUM(F19:G19)</f>
        <v>20228.239999999998</v>
      </c>
      <c r="F19" s="2791">
        <f>'数据-基础表'!I5</f>
        <v>19982.989999999998</v>
      </c>
      <c r="G19" s="2792">
        <f>'数据-基础表'!K5</f>
        <v>245.25</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73586.240000000005</v>
      </c>
      <c r="S19" s="1023">
        <f t="shared" si="5"/>
        <v>20228.239999999998</v>
      </c>
    </row>
    <row r="20" spans="1:19">
      <c r="A20" s="1666"/>
      <c r="B20" s="47" t="s">
        <v>1150</v>
      </c>
      <c r="C20" s="3413"/>
      <c r="D20" s="45">
        <f t="shared" ref="D20:D26" si="6">ROUND($D$3*E20/$E$3,2)</f>
        <v>0</v>
      </c>
      <c r="E20" s="53">
        <f t="shared" si="1"/>
        <v>0</v>
      </c>
      <c r="F20" s="2791"/>
      <c r="G20" s="2792"/>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1150</v>
      </c>
      <c r="C21" s="3413"/>
      <c r="D21" s="45">
        <f t="shared" si="6"/>
        <v>0</v>
      </c>
      <c r="E21" s="53">
        <f t="shared" si="1"/>
        <v>0</v>
      </c>
      <c r="F21" s="2791"/>
      <c r="G21" s="2792"/>
      <c r="H21" s="669">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1151</v>
      </c>
      <c r="D27" s="1136">
        <f>SUM(D19:D26)</f>
        <v>73586.240000000005</v>
      </c>
      <c r="E27" s="1137">
        <f>IF(SUM(E19:E26)='数据-基础表'!BA5,SUM(E19:E26),IF(F27="地上面积有误","面积有误","地下面积有误"))</f>
        <v>20228.239999999998</v>
      </c>
      <c r="F27" s="1136">
        <f>IF(SUM(F19:F26)=E8,SUM(F19:F26),"地上面积有误")</f>
        <v>19982.989999999998</v>
      </c>
      <c r="G27" s="1138">
        <f>SUM(G19:G26)</f>
        <v>245.25</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73586.240000000005</v>
      </c>
      <c r="S27" s="1022">
        <f>IF(SUM(S19:S26)=$E$3,SUM(S19:S26),SUM(S19:S26)&amp;"误差"&amp;ROUND(SUM(S19:S26)-E3,2))</f>
        <v>20228.239999999998</v>
      </c>
    </row>
    <row r="28" spans="1:19">
      <c r="A28" s="1666"/>
      <c r="B28" s="47" t="s">
        <v>1152</v>
      </c>
      <c r="C28" s="1034" t="s">
        <v>1153</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1155</v>
      </c>
      <c r="D31" s="675">
        <f>D27+D30</f>
        <v>73586.240000000005</v>
      </c>
      <c r="E31" s="675">
        <f>E27+E30</f>
        <v>20228.239999999998</v>
      </c>
      <c r="F31" s="676">
        <f>F27+F30</f>
        <v>19982.989999999998</v>
      </c>
      <c r="G31" s="677">
        <f>G27+G30</f>
        <v>245.25</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79931.959999999992</v>
      </c>
      <c r="F39" s="1634">
        <f>F37*F27</f>
        <v>79931.959999999992</v>
      </c>
      <c r="G39" s="1634">
        <f>G37*G20+G38*G21</f>
        <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23" width="7.25" style="1678" customWidth="1"/>
    <col min="24"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56926</v>
      </c>
      <c r="F6" s="64">
        <f>SUMIF(项目基本情况!C$12:I$12,C6,项目基本情况!C$15:I$15)</f>
        <v>31.39</v>
      </c>
      <c r="G6" s="65">
        <f>IF(ISERROR(ROUND(POWER(1+H6,D6-F6)*(POWER(1+H6,F6)-1)/(POWER(1+H6,D6)-1),3)),0,ROUND(POWER(1+H6,D6-F6)*(POWER(1+H6,F6)-1)/(POWER(1+H6,D6)-1),3))</f>
        <v>0.85899999999999999</v>
      </c>
      <c r="H6" s="731">
        <v>0.05</v>
      </c>
      <c r="I6" s="731">
        <v>5.5E-2</v>
      </c>
      <c r="J6" s="66">
        <v>7.0000000000000007E-2</v>
      </c>
      <c r="K6" s="1026">
        <f>SUMIF('数据-汇总表'!C$19:C$33,A6,'数据-汇总表'!E$19:E$33)</f>
        <v>20228.239999999998</v>
      </c>
      <c r="L6" s="3485">
        <v>2500</v>
      </c>
      <c r="M6" s="67">
        <f t="shared" ref="M6:M14" si="0">ROUND(K6*L6/10000,0)</f>
        <v>5057</v>
      </c>
      <c r="N6" s="730">
        <f>N20</f>
        <v>0.69</v>
      </c>
      <c r="O6" s="67" t="str">
        <f>IF($N$5="成新度","——",ROUND(M6*N6,0))</f>
        <v>——</v>
      </c>
      <c r="P6" s="68" t="str">
        <f>IF($N$5="成新度","——",M6-O6)</f>
        <v>——</v>
      </c>
      <c r="Q6" s="733">
        <v>0.05</v>
      </c>
      <c r="R6" s="69">
        <f ca="1">SUMIF('数据-汇总表'!C$19:C$33,A6,'数据-汇总表'!R$19:R$27)</f>
        <v>73586.240000000005</v>
      </c>
      <c r="S6" s="51">
        <f>IF('数据-汇总表'!$I$17="按面积比例",SUMIF('数据-汇总表'!C$19:C$33,A6,'数据-汇总表'!K$19:K$33),SUMIF('数据-汇总表'!C$19:C$33,A6,'数据-汇总表'!N$19:N$33))</f>
        <v>0</v>
      </c>
      <c r="T6" s="1168">
        <f>ROUND($L$14*S6/10000,0)</f>
        <v>0</v>
      </c>
      <c r="U6" s="3510">
        <v>2</v>
      </c>
      <c r="V6" s="70">
        <v>0.02</v>
      </c>
      <c r="W6" s="70">
        <v>0.15</v>
      </c>
      <c r="X6" s="1036"/>
      <c r="Y6" s="71">
        <f>N6</f>
        <v>0.69</v>
      </c>
      <c r="Z6" s="72"/>
      <c r="AA6" s="66"/>
      <c r="AB6" s="66"/>
      <c r="AC6" s="1036"/>
      <c r="AD6" s="73"/>
      <c r="AE6" s="1037">
        <f ca="1">IF(AN6="",0,SUMIF(INDIRECT("'"&amp;AN6&amp;"'"&amp;"!E:E"),$AE$5,INDIRECT("'"&amp;AN6&amp;"'"&amp;"!F:F")))</f>
        <v>31</v>
      </c>
      <c r="AF6" s="1344"/>
      <c r="AG6" s="138">
        <f>IF(AF6="",0,AE6-AF6)</f>
        <v>0</v>
      </c>
      <c r="AH6" s="74"/>
      <c r="AI6" s="76">
        <v>365</v>
      </c>
      <c r="AJ6" s="77"/>
      <c r="AK6" s="3512">
        <v>5.0000000000000001E-3</v>
      </c>
      <c r="AL6" s="3513">
        <v>1E-3</v>
      </c>
      <c r="AM6" s="3514">
        <v>5.0000000000000001E-3</v>
      </c>
      <c r="AN6" s="1711" t="s">
        <v>3501</v>
      </c>
      <c r="AO6" s="52">
        <f ca="1">SUMIF(INDIRECT("'"&amp;AN6&amp;"'"&amp;"!A:A"),"总价",INDIRECT("'"&amp;AN6&amp;"'"&amp;"!B:B"))</f>
        <v>16131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6">
        <f>SUMIF('数据-汇总表'!C$19:C$33,A7,'数据-汇总表'!E$19:E$33)</f>
        <v>0</v>
      </c>
      <c r="L7" s="3485"/>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510"/>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3512"/>
      <c r="AL7" s="3513"/>
      <c r="AM7" s="3514"/>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1"/>
      <c r="I8" s="3516"/>
      <c r="J8" s="66"/>
      <c r="K8" s="1026">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8">
        <f t="shared" si="5"/>
        <v>0</v>
      </c>
      <c r="U8" s="3511"/>
      <c r="V8" s="3515"/>
      <c r="W8" s="734"/>
      <c r="X8" s="1036"/>
      <c r="Y8" s="71"/>
      <c r="Z8" s="72"/>
      <c r="AA8" s="66"/>
      <c r="AB8" s="66"/>
      <c r="AC8" s="1036"/>
      <c r="AD8" s="73"/>
      <c r="AE8" s="1037">
        <f t="shared" ca="1" si="6"/>
        <v>0</v>
      </c>
      <c r="AF8" s="1344"/>
      <c r="AG8" s="138">
        <f t="shared" si="7"/>
        <v>0</v>
      </c>
      <c r="AH8" s="735"/>
      <c r="AI8" s="76"/>
      <c r="AJ8" s="77"/>
      <c r="AK8" s="3512"/>
      <c r="AL8" s="3513"/>
      <c r="AM8" s="3514"/>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0.85899999999999999</v>
      </c>
      <c r="H16" s="90">
        <f>ROUND(SUMPRODUCT(H6:H13,K6:K13)/SUMPRODUCT((H6:H13&gt;0)*(K6:K13)),3)</f>
        <v>0.05</v>
      </c>
      <c r="I16" s="91"/>
      <c r="J16" s="91"/>
      <c r="K16" s="92">
        <f>SUM(K6:K15)</f>
        <v>20228.239999999998</v>
      </c>
      <c r="L16" s="93">
        <f>ROUND(M16*10000/SUM(K6:K14),0)</f>
        <v>2500</v>
      </c>
      <c r="M16" s="93">
        <f>SUM(M6:M14)</f>
        <v>5057</v>
      </c>
      <c r="N16" s="94">
        <f>ROUND(SUMPRODUCT(M6:M14,N6:N14)/M16,3)</f>
        <v>0.69</v>
      </c>
      <c r="O16" s="93">
        <f>SUM(O6:O14)</f>
        <v>0</v>
      </c>
      <c r="P16" s="93">
        <f>SUM(P6:P14)</f>
        <v>0</v>
      </c>
      <c r="Q16" s="95">
        <f>ROUND(SUMPRODUCT(Q6:Q13,K6:K13)/SUMPRODUCT((Q6:Q13&gt;0)*(K6:K13)),2)</f>
        <v>0.05</v>
      </c>
      <c r="R16" s="1030">
        <f ca="1">SUM(R6:R13)</f>
        <v>73586.240000000005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1995</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0.52</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1.5</v>
      </c>
      <c r="C20" s="2796" t="s">
        <v>2298</v>
      </c>
      <c r="D20" s="2672"/>
      <c r="E20" s="2669"/>
      <c r="F20" s="2669"/>
      <c r="G20" s="2669"/>
      <c r="H20" s="2669"/>
      <c r="I20" s="2669"/>
      <c r="J20" s="2669"/>
      <c r="K20" s="2668"/>
      <c r="L20" s="2668"/>
      <c r="M20" s="2667"/>
      <c r="N20" s="2667">
        <f>ROUND(N18*O18+N19*O19,2)</f>
        <v>0.69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1.5</v>
      </c>
      <c r="C21" s="2669"/>
      <c r="D21" s="2672"/>
      <c r="E21" s="2669"/>
      <c r="F21" s="2669"/>
      <c r="G21" s="2669"/>
      <c r="H21" s="2669"/>
      <c r="I21" s="2669"/>
      <c r="J21" s="2669"/>
      <c r="K21" s="2668"/>
      <c r="L21" s="2668"/>
      <c r="M21" s="2667"/>
      <c r="N21" s="2667"/>
      <c r="O21" s="2667"/>
      <c r="P21" s="2667"/>
      <c r="Q21" s="2667"/>
      <c r="R21" s="2667"/>
      <c r="S21" s="2667"/>
      <c r="T21" s="2667"/>
      <c r="U21" s="2667">
        <f>'数据-基础表'!I5</f>
        <v>19982.989999999998</v>
      </c>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1.5</v>
      </c>
      <c r="C22" s="2669"/>
      <c r="D22" s="2672"/>
      <c r="E22" s="2669"/>
      <c r="F22" s="2669"/>
      <c r="G22" s="2669"/>
      <c r="H22" s="2669"/>
      <c r="I22" s="2669"/>
      <c r="J22" s="2669"/>
      <c r="K22" s="2668"/>
      <c r="L22" s="2668"/>
      <c r="M22" s="2667"/>
      <c r="N22" s="2667"/>
      <c r="O22" s="2667"/>
      <c r="P22" s="2667"/>
      <c r="Q22" s="2667"/>
      <c r="R22" s="2667"/>
      <c r="S22" s="2667"/>
      <c r="T22" s="2667"/>
      <c r="U22" s="2667">
        <f>'数据-基础表'!K5</f>
        <v>245.25</v>
      </c>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1.5</v>
      </c>
      <c r="C23" s="2669"/>
      <c r="D23" s="2672"/>
      <c r="E23" s="2669"/>
      <c r="F23" s="2669"/>
      <c r="G23" s="2669"/>
      <c r="H23" s="2669"/>
      <c r="I23" s="2669"/>
      <c r="J23" s="2669" t="s">
        <v>3472</v>
      </c>
      <c r="K23" s="2668"/>
      <c r="L23" s="2668" t="s">
        <v>3473</v>
      </c>
      <c r="M23" s="2667">
        <f>M24+M25</f>
        <v>3636.6</v>
      </c>
      <c r="N23" s="2667"/>
      <c r="O23" s="2667"/>
      <c r="P23" s="2667"/>
      <c r="Q23" s="2667"/>
      <c r="R23" s="2667"/>
      <c r="S23" s="2667"/>
      <c r="T23" s="2667"/>
      <c r="U23" s="2667">
        <f>U21+U22</f>
        <v>20228.239999999998</v>
      </c>
      <c r="V23" s="2667">
        <v>1.5</v>
      </c>
      <c r="W23" s="2667">
        <f>U23*V23*365</f>
        <v>11074961.399999999</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3636.6</v>
      </c>
      <c r="N24" s="2667"/>
      <c r="O24" s="2667"/>
      <c r="P24" s="2667"/>
      <c r="Q24" s="2667"/>
      <c r="R24" s="2667"/>
      <c r="S24" s="2667"/>
      <c r="T24" s="2667"/>
      <c r="U24" s="2667">
        <v>4000</v>
      </c>
      <c r="V24" s="2667">
        <f>ROUND(U24/U23/365*10000,2)</f>
        <v>5.42</v>
      </c>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3458</v>
      </c>
      <c r="M25" s="2667">
        <f>'数据-基础表'!M15</f>
        <v>0</v>
      </c>
      <c r="N25" s="2667"/>
      <c r="O25" s="2667"/>
      <c r="P25" s="2667"/>
      <c r="Q25" s="2667"/>
      <c r="R25" s="2667"/>
      <c r="S25" s="2667"/>
      <c r="T25" s="2667"/>
      <c r="U25" s="2671">
        <f ca="1">R16-U23</f>
        <v>53358.000000000007</v>
      </c>
      <c r="V25" s="2667">
        <v>0.3</v>
      </c>
      <c r="W25" s="2667">
        <f ca="1">U25*V25*365</f>
        <v>5842701.0000000009</v>
      </c>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3474</v>
      </c>
      <c r="K26" s="2668" t="s">
        <v>3475</v>
      </c>
      <c r="L26" s="2668"/>
      <c r="M26" s="2667">
        <f>M27+M30+M31</f>
        <v>4200</v>
      </c>
      <c r="N26" s="2667"/>
      <c r="O26" s="2667"/>
      <c r="P26" s="2667"/>
      <c r="Q26" s="2667"/>
      <c r="R26" s="2667"/>
      <c r="S26" s="2667"/>
      <c r="T26" s="2667"/>
      <c r="U26" s="2667"/>
      <c r="V26" s="2667"/>
      <c r="W26" s="2667">
        <f ca="1">(W23+W25)/365/U23</f>
        <v>2.2913392366315608</v>
      </c>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3476</v>
      </c>
      <c r="L27" s="2668" t="s">
        <v>3473</v>
      </c>
      <c r="M27" s="2667">
        <f>ROUND((M24*M28+M25*M29)/M23,0)</f>
        <v>1800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405</v>
      </c>
      <c r="C29" s="2798" t="s">
        <v>2289</v>
      </c>
      <c r="D29" s="2675"/>
      <c r="E29" s="2657"/>
      <c r="F29" s="2657"/>
      <c r="G29" s="2669"/>
      <c r="H29" s="2669"/>
      <c r="I29" s="2669"/>
      <c r="J29" s="2669"/>
      <c r="K29" s="2668"/>
      <c r="L29" s="2668" t="s">
        <v>3458</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3477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3478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4" t="s">
        <v>2281</v>
      </c>
      <c r="B1" s="3605"/>
      <c r="C1" s="3605"/>
      <c r="D1" s="3605"/>
      <c r="E1" s="3605"/>
      <c r="F1" s="3605"/>
      <c r="G1" s="360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3636.6</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14901</v>
      </c>
      <c r="C5" s="2508">
        <f ca="1">IF(B5=D14,结果表!H102,ROUND(B5*10000/$B$1,0))</f>
        <v>7366</v>
      </c>
      <c r="D5" s="2508" t="e">
        <f ca="1">ROUND(B5*10000/$B$2,0)</f>
        <v>#DIV/0!</v>
      </c>
      <c r="E5" s="2682"/>
      <c r="F5" s="2683"/>
      <c r="G5" s="2683"/>
      <c r="H5" s="2684"/>
      <c r="I5" s="2684"/>
      <c r="J5" s="2684"/>
      <c r="K5" s="2684"/>
    </row>
    <row r="6" spans="1:11" ht="16.5">
      <c r="A6" s="2508" t="s">
        <v>655</v>
      </c>
      <c r="B6" s="2508">
        <f ca="1">SUM(G14:G23)</f>
        <v>14901</v>
      </c>
      <c r="C6" s="2508">
        <f ca="1">IF(B6=G14,结果表!H108,ROUND(B6*10000/$B$1,0))</f>
        <v>7366</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6970</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3636.6</v>
      </c>
      <c r="C14" s="2514"/>
      <c r="D14" s="2514">
        <f ca="1">结果表!H107</f>
        <v>14901</v>
      </c>
      <c r="E14" s="2514">
        <f ca="1">ROUND(D14*10000/B14,0)</f>
        <v>40975</v>
      </c>
      <c r="F14" s="2514" t="e">
        <f ca="1">ROUND(D14*10000/C14,0)</f>
        <v>#DIV/0!</v>
      </c>
      <c r="G14" s="2514">
        <f ca="1">D14</f>
        <v>14901</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3" t="str">
        <f>项目基本情况!S2</f>
        <v>北京市房地产</v>
      </c>
      <c r="B2" s="3674"/>
      <c r="C2" s="3674"/>
      <c r="D2" s="3674"/>
      <c r="E2" s="3674"/>
      <c r="F2" s="3674"/>
      <c r="G2" s="3674"/>
      <c r="H2" s="3674"/>
      <c r="I2" s="3675"/>
    </row>
    <row r="3" spans="1:12" ht="12.75">
      <c r="A3" s="3677" t="s">
        <v>1261</v>
      </c>
      <c r="B3" s="3678"/>
      <c r="C3" s="3678"/>
      <c r="D3" s="3678"/>
      <c r="E3" s="3678"/>
      <c r="F3" s="3678"/>
      <c r="G3" s="3678"/>
      <c r="H3" s="3678"/>
      <c r="I3" s="3678"/>
    </row>
    <row r="4" spans="1:12" ht="14.25">
      <c r="A4" s="1750" t="s">
        <v>1262</v>
      </c>
      <c r="B4" s="1751" t="s">
        <v>1263</v>
      </c>
      <c r="C4" s="1752" t="s">
        <v>3459</v>
      </c>
      <c r="D4" s="1752" t="s">
        <v>3501</v>
      </c>
      <c r="E4" s="3682" t="s">
        <v>1264</v>
      </c>
      <c r="F4" s="3683"/>
      <c r="G4" s="3683"/>
      <c r="H4" s="3683"/>
      <c r="I4" s="36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1265</v>
      </c>
      <c r="B5" s="3676">
        <v>25</v>
      </c>
      <c r="C5" s="3679"/>
      <c r="D5" s="3667"/>
      <c r="E5" s="131" t="s">
        <v>1266</v>
      </c>
      <c r="F5" s="1753"/>
      <c r="G5" s="1753"/>
      <c r="H5" s="1753"/>
      <c r="I5" s="1369"/>
    </row>
    <row r="6" spans="1:12" ht="12.75">
      <c r="A6" s="3621"/>
      <c r="B6" s="3676"/>
      <c r="C6" s="3681"/>
      <c r="D6" s="3667"/>
      <c r="E6" s="131" t="s">
        <v>1267</v>
      </c>
      <c r="F6" s="1753"/>
      <c r="G6" s="1753"/>
      <c r="H6" s="1753"/>
      <c r="I6" s="1369"/>
    </row>
    <row r="7" spans="1:12" ht="12.75">
      <c r="A7" s="3621"/>
      <c r="B7" s="3676"/>
      <c r="C7" s="3680"/>
      <c r="D7" s="3667"/>
      <c r="E7" s="131" t="s">
        <v>1268</v>
      </c>
      <c r="F7" s="1753"/>
      <c r="G7" s="1753"/>
      <c r="H7" s="1753"/>
      <c r="I7" s="1369"/>
    </row>
    <row r="8" spans="1:12" ht="12.75">
      <c r="A8" s="3621" t="s">
        <v>1269</v>
      </c>
      <c r="B8" s="3676">
        <v>15</v>
      </c>
      <c r="C8" s="3679"/>
      <c r="D8" s="3667"/>
      <c r="E8" s="131" t="s">
        <v>1270</v>
      </c>
      <c r="F8" s="1753"/>
      <c r="G8" s="1753"/>
      <c r="H8" s="1753"/>
      <c r="I8" s="1369"/>
    </row>
    <row r="9" spans="1:12" ht="12.75">
      <c r="A9" s="3621"/>
      <c r="B9" s="3676"/>
      <c r="C9" s="3680"/>
      <c r="D9" s="3667"/>
      <c r="E9" s="131" t="s">
        <v>1271</v>
      </c>
      <c r="F9" s="1753"/>
      <c r="G9" s="1753"/>
      <c r="H9" s="1753"/>
      <c r="I9" s="1369"/>
    </row>
    <row r="10" spans="1:12" ht="12.75">
      <c r="A10" s="3621" t="s">
        <v>1272</v>
      </c>
      <c r="B10" s="3676">
        <v>15</v>
      </c>
      <c r="C10" s="3679"/>
      <c r="D10" s="3667"/>
      <c r="E10" s="131" t="s">
        <v>1273</v>
      </c>
      <c r="F10" s="1753"/>
      <c r="G10" s="1753"/>
      <c r="H10" s="1753"/>
      <c r="I10" s="1369"/>
    </row>
    <row r="11" spans="1:12" ht="12.75">
      <c r="A11" s="3621"/>
      <c r="B11" s="3676"/>
      <c r="C11" s="3680"/>
      <c r="D11" s="3667"/>
      <c r="E11" s="131" t="s">
        <v>1274</v>
      </c>
      <c r="F11" s="1753"/>
      <c r="G11" s="1753"/>
      <c r="H11" s="1753"/>
      <c r="I11" s="1369"/>
    </row>
    <row r="12" spans="1:12" ht="12.75">
      <c r="A12" s="3621" t="s">
        <v>1275</v>
      </c>
      <c r="B12" s="3676">
        <v>15</v>
      </c>
      <c r="C12" s="3679"/>
      <c r="D12" s="3667"/>
      <c r="E12" s="131" t="s">
        <v>1276</v>
      </c>
      <c r="F12" s="1753"/>
      <c r="G12" s="1753"/>
      <c r="H12" s="1753"/>
      <c r="I12" s="1369"/>
    </row>
    <row r="13" spans="1:12" ht="12.75">
      <c r="A13" s="3621"/>
      <c r="B13" s="3676"/>
      <c r="C13" s="3680"/>
      <c r="D13" s="3667"/>
      <c r="E13" s="131" t="s">
        <v>1277</v>
      </c>
      <c r="F13" s="1753"/>
      <c r="G13" s="1753"/>
      <c r="H13" s="1753"/>
      <c r="I13" s="1369"/>
    </row>
    <row r="14" spans="1:12" ht="12.75">
      <c r="A14" s="3621" t="s">
        <v>1278</v>
      </c>
      <c r="B14" s="3676">
        <v>30</v>
      </c>
      <c r="C14" s="3679">
        <v>5</v>
      </c>
      <c r="D14" s="3667">
        <v>5</v>
      </c>
      <c r="E14" s="131" t="s">
        <v>1279</v>
      </c>
      <c r="F14" s="1753"/>
      <c r="G14" s="1753"/>
      <c r="H14" s="1753"/>
      <c r="I14" s="1369"/>
    </row>
    <row r="15" spans="1:12" ht="12.75">
      <c r="A15" s="3621"/>
      <c r="B15" s="3676"/>
      <c r="C15" s="3681"/>
      <c r="D15" s="3667"/>
      <c r="E15" s="131" t="s">
        <v>1280</v>
      </c>
      <c r="F15" s="1753"/>
      <c r="G15" s="1753"/>
      <c r="H15" s="1753"/>
      <c r="I15" s="1369"/>
    </row>
    <row r="16" spans="1:12" ht="12.75">
      <c r="A16" s="3621"/>
      <c r="B16" s="3676"/>
      <c r="C16" s="3680"/>
      <c r="D16" s="3667"/>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8" t="s">
        <v>2126</v>
      </c>
      <c r="F18" s="3699"/>
      <c r="G18" s="3699"/>
      <c r="H18" s="3699"/>
      <c r="I18" s="3699"/>
      <c r="K18" s="302" t="s">
        <v>1286</v>
      </c>
      <c r="L18" s="302">
        <f>IF(C1="",'数据-汇总表'!E3,SUMIF(项目类型,C1,'数据-汇总表'!E17:E26)+SUMIF(项目类型,C1,'数据-汇总表'!I17:I26))</f>
        <v>20228.239999999998</v>
      </c>
      <c r="M18" s="302">
        <f>IF(C1="",'数据-汇总表'!E3,SUMIF(项目类型,C1,'数据-汇总表'!E17:E26))</f>
        <v>20228.239999999998</v>
      </c>
    </row>
    <row r="19" spans="1:36" ht="15">
      <c r="A19" s="1757" t="s">
        <v>1287</v>
      </c>
      <c r="B19" s="1758" t="s">
        <v>1288</v>
      </c>
      <c r="C19" s="134">
        <f ca="1">SUMIF(INDIRECT("'"&amp;C4&amp;"'"&amp;"!A:A"),结果表!B19,INDIRECT("'"&amp;C4&amp;"'"&amp;"!B:B"))</f>
        <v>13671</v>
      </c>
      <c r="D19" s="135">
        <f ca="1">SUMIF(INDIRECT("'"&amp;D4&amp;"'"&amp;"!A:A"),结果表!B19,INDIRECT("'"&amp;D4&amp;"'"&amp;"!B:B"))</f>
        <v>16131</v>
      </c>
      <c r="E19" s="1757" t="s">
        <v>1289</v>
      </c>
      <c r="F19" s="1758" t="s">
        <v>1288</v>
      </c>
      <c r="G19" s="136">
        <f ca="1">ROUND(C19*$C$18+D19*$D$18,0)</f>
        <v>14901</v>
      </c>
      <c r="H19" s="1759" t="s">
        <v>1290</v>
      </c>
      <c r="I19" s="129"/>
      <c r="K19" s="302" t="s">
        <v>1291</v>
      </c>
      <c r="L19" s="302">
        <f>IF(C1="",'数据-汇总表'!D3,SUMIF(项目类型,C1,'数据-汇总表'!D17:D26)+SUMIF(项目类型,C1,'数据-汇总表'!H17:H27))</f>
        <v>73586.240000000005</v>
      </c>
      <c r="M19" s="302">
        <f>IF(C1="",'数据-汇总表'!D3,SUMIF(项目类型,C1,'数据-汇总表'!D17:D26))</f>
        <v>73586.240000000005</v>
      </c>
    </row>
    <row r="20" spans="1:36" ht="15">
      <c r="A20" s="1760"/>
      <c r="B20" s="1022" t="s">
        <v>1292</v>
      </c>
      <c r="C20" s="137">
        <f ca="1">SUMIF(INDIRECT("'"&amp;C4&amp;"'"&amp;"!A:A"),结果表!B20,INDIRECT("'"&amp;C4&amp;"'"&amp;"!B:B"))</f>
        <v>6758</v>
      </c>
      <c r="D20" s="138">
        <f ca="1">SUMIF(INDIRECT("'"&amp;D4&amp;"'"&amp;"!A:A"),结果表!B20,INDIRECT("'"&amp;D4&amp;"'"&amp;"!B:B"))</f>
        <v>7974</v>
      </c>
      <c r="E20" s="1760"/>
      <c r="F20" s="1022" t="s">
        <v>1292</v>
      </c>
      <c r="G20" s="139">
        <f ca="1">ROUND(C20*$C$18+D20*$D$18,0)</f>
        <v>7366</v>
      </c>
      <c r="H20" s="804" t="s">
        <v>1293</v>
      </c>
      <c r="I20" s="129"/>
    </row>
    <row r="21" spans="1:36" ht="15" customHeight="1" thickBot="1">
      <c r="A21" s="824"/>
      <c r="B21" s="1761" t="s">
        <v>1294</v>
      </c>
      <c r="C21" s="718">
        <f ca="1">ROUND(C19*10000/L19,0)</f>
        <v>1858</v>
      </c>
      <c r="D21" s="719">
        <f ca="1">ROUND(D19*10000/L19,0)</f>
        <v>2192</v>
      </c>
      <c r="E21" s="824"/>
      <c r="F21" s="1761" t="s">
        <v>1294</v>
      </c>
      <c r="G21" s="140">
        <f ca="1">ROUND(G19*10000/L19,0)</f>
        <v>2025</v>
      </c>
      <c r="H21" s="1762" t="s">
        <v>1293</v>
      </c>
      <c r="I21" s="129"/>
    </row>
    <row r="22" spans="1:36" ht="15" thickBot="1">
      <c r="A22" s="1684" t="s">
        <v>1295</v>
      </c>
      <c r="B22" s="1763"/>
      <c r="C22" s="1764"/>
      <c r="D22" s="720">
        <f ca="1">IF(C19&lt;D19,D19/C19-1,C19/D19-1)</f>
        <v>0.17994294491990348</v>
      </c>
      <c r="E22" s="129"/>
      <c r="F22" s="129"/>
      <c r="G22" s="129"/>
      <c r="H22" s="129"/>
      <c r="I22" s="129"/>
    </row>
    <row r="23" spans="1:36" ht="13.5" thickBot="1">
      <c r="A23" s="1743"/>
      <c r="B23" s="1743"/>
      <c r="C23" s="1743"/>
      <c r="D23" s="1743"/>
      <c r="E23" s="129"/>
      <c r="F23" s="129"/>
      <c r="G23" s="129"/>
      <c r="H23" s="129"/>
      <c r="I23" s="129"/>
    </row>
    <row r="24" spans="1:36" ht="14.25">
      <c r="A24" s="3691" t="s">
        <v>1296</v>
      </c>
      <c r="B24" s="1758" t="s">
        <v>1288</v>
      </c>
      <c r="C24" s="136">
        <f>IF(B30=0,0,D30)</f>
        <v>0</v>
      </c>
      <c r="D24" s="1765"/>
      <c r="E24" s="129"/>
      <c r="F24" s="129"/>
      <c r="G24" s="129"/>
      <c r="H24" s="129"/>
      <c r="I24" s="129"/>
    </row>
    <row r="25" spans="1:36" ht="14.25">
      <c r="A25" s="3692"/>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11160.60606060606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14901</v>
      </c>
      <c r="D32" s="1771" t="s">
        <v>3471</v>
      </c>
      <c r="E32" s="129"/>
      <c r="F32" s="129"/>
      <c r="G32" s="129"/>
      <c r="H32" s="129"/>
      <c r="I32" s="129"/>
    </row>
    <row r="33" spans="1:15" ht="15">
      <c r="A33" s="782" t="s">
        <v>1303</v>
      </c>
      <c r="B33" s="1772"/>
      <c r="C33" s="1773" t="s">
        <v>3448</v>
      </c>
      <c r="D33" s="1774" t="s">
        <v>3459</v>
      </c>
      <c r="E33" s="1775" t="s">
        <v>1304</v>
      </c>
      <c r="F33" s="1776" t="str">
        <f>IF(D32="楼面单价","取值（单价）","取值（总价）")</f>
        <v>取值（总价）</v>
      </c>
      <c r="G33" s="129"/>
      <c r="H33" s="129"/>
      <c r="I33" s="129"/>
    </row>
    <row r="34" spans="1:15" ht="15">
      <c r="A34" s="1777"/>
      <c r="B34" s="1778" t="s">
        <v>1305</v>
      </c>
      <c r="C34" s="148">
        <f ca="1">IF(C33="自定义",F34,C32-C35)</f>
        <v>9656</v>
      </c>
      <c r="D34" s="857">
        <f ca="1">IF(C33="自定义",ROUND(C34/C32,3),IF(C33="收益比率",SUMIF(INDIRECT("'"&amp;D33&amp;"'"&amp;"!b:b"),"土地收益比率",INDIRECT("'"&amp;D33&amp;"'"&amp;"!c:c")),SUMIF(INDIRECT("'"&amp;D33&amp;"'"&amp;"!b:b"),"土地成本比率",INDIRECT("'"&amp;D33&amp;"'"&amp;"!c:c"))))</f>
        <v>0.64800000000000002</v>
      </c>
      <c r="E34" s="1779" t="s">
        <v>1306</v>
      </c>
      <c r="F34" s="1326"/>
      <c r="G34" s="129"/>
      <c r="H34" s="129"/>
      <c r="I34" s="129"/>
    </row>
    <row r="35" spans="1:15" ht="15.75" thickBot="1">
      <c r="A35" s="1780"/>
      <c r="B35" s="1781" t="s">
        <v>1307</v>
      </c>
      <c r="C35" s="1166">
        <f ca="1">IF(C33="自定义",F35,ROUND(C32*D35,0))</f>
        <v>5245</v>
      </c>
      <c r="D35" s="1167">
        <f ca="1">IF(C33="自定义",ROUND(C35/C32,3),IF(C33="收益比率",SUMIF(INDIRECT("'"&amp;D33&amp;"'"&amp;"!b:b"),"建筑物收益比率",INDIRECT("'"&amp;D33&amp;"'"&amp;"!c:c")),SUMIF(INDIRECT("'"&amp;D33&amp;"'"&amp;"!b:b"),"建筑物成本比率",INDIRECT("'"&amp;D33&amp;"'"&amp;"!c:c"))))</f>
        <v>0.35199999999999998</v>
      </c>
      <c r="E35" s="1782" t="s">
        <v>1308</v>
      </c>
      <c r="F35" s="154"/>
      <c r="G35" s="129"/>
      <c r="H35" s="129"/>
      <c r="I35" s="129"/>
    </row>
    <row r="36" spans="1:15" ht="15.75" thickBot="1">
      <c r="A36" s="3668" t="s">
        <v>1309</v>
      </c>
      <c r="B36" s="1783" t="s">
        <v>1310</v>
      </c>
      <c r="C36" s="145"/>
      <c r="D36" s="1784"/>
      <c r="E36" s="1785"/>
      <c r="F36" s="1786"/>
      <c r="G36" s="129"/>
      <c r="H36" s="129"/>
      <c r="I36" s="129"/>
    </row>
    <row r="37" spans="1:15" ht="15.75" thickBot="1">
      <c r="A37" s="3669"/>
      <c r="B37" s="1670" t="s">
        <v>1311</v>
      </c>
      <c r="C37" s="147"/>
      <c r="D37" s="1135"/>
      <c r="E37" s="1135"/>
      <c r="F37" s="1786"/>
      <c r="G37" s="129"/>
      <c r="H37" s="129"/>
      <c r="I37" s="129"/>
    </row>
    <row r="38" spans="1:15" ht="15.75" thickBot="1">
      <c r="A38" s="3670"/>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8" t="s">
        <v>1323</v>
      </c>
      <c r="B45" s="3689"/>
      <c r="C45" s="3690"/>
      <c r="D45" s="155">
        <f ca="1">ROUND(H101*F45,0)</f>
        <v>14901</v>
      </c>
      <c r="E45" s="156" t="s">
        <v>1324</v>
      </c>
      <c r="F45" s="157">
        <v>1</v>
      </c>
      <c r="G45" s="158" t="s">
        <v>1325</v>
      </c>
      <c r="H45" s="129"/>
      <c r="I45" s="129"/>
      <c r="J45" s="3608" t="s">
        <v>1326</v>
      </c>
      <c r="K45" s="3608"/>
      <c r="L45" s="3608"/>
      <c r="M45" s="3608"/>
      <c r="N45" s="3608"/>
      <c r="O45" s="3608"/>
    </row>
    <row r="46" spans="1:15" ht="14.25" customHeight="1">
      <c r="A46" s="3685" t="s">
        <v>1327</v>
      </c>
      <c r="B46" s="3686"/>
      <c r="C46" s="3686"/>
      <c r="D46" s="3686"/>
      <c r="E46" s="3686"/>
      <c r="F46" s="3686"/>
      <c r="G46" s="3687"/>
      <c r="H46" s="1802"/>
      <c r="I46" s="159"/>
      <c r="J46" s="2519">
        <v>1</v>
      </c>
      <c r="K46" s="3609" t="s">
        <v>1328</v>
      </c>
      <c r="L46" s="3609"/>
      <c r="M46" s="3610"/>
      <c r="N46" s="3610"/>
      <c r="O46" s="3610"/>
    </row>
    <row r="47" spans="1:15" ht="12" customHeight="1">
      <c r="A47" s="160" t="s">
        <v>1329</v>
      </c>
      <c r="B47" s="161"/>
      <c r="C47" s="162"/>
      <c r="D47" s="1083" t="s">
        <v>1330</v>
      </c>
      <c r="E47" s="302" t="s">
        <v>1331</v>
      </c>
      <c r="F47" s="163" t="s">
        <v>1332</v>
      </c>
      <c r="G47" s="2542" t="s">
        <v>1333</v>
      </c>
      <c r="H47" s="2543"/>
      <c r="I47" s="159"/>
      <c r="J47" s="2519">
        <v>2</v>
      </c>
      <c r="K47" s="3609" t="s">
        <v>1334</v>
      </c>
      <c r="L47" s="3609"/>
      <c r="M47" s="3611">
        <f>'数据-取费表'!B2</f>
        <v>45467</v>
      </c>
      <c r="N47" s="3611"/>
      <c r="O47" s="3611"/>
    </row>
    <row r="48" spans="1:15" ht="25.5">
      <c r="A48" s="3671" t="s">
        <v>1335</v>
      </c>
      <c r="B48" s="3672"/>
      <c r="C48" s="3672"/>
      <c r="D48" s="2320">
        <f ca="1">IF(H48="情况1",0,IF(H48="情况2",D52,IF(H48="情况3",D53,IF(H48="情况4",D54))))</f>
        <v>795</v>
      </c>
      <c r="E48" s="2330" t="str">
        <f>IF(H48="情况4","(销售额-原购置价)×税（费）率","销售额×税（费）率")</f>
        <v>销售额×税（费）率</v>
      </c>
      <c r="F48" s="2544">
        <f>IF(H48="情况1","免征",'数据-取费表'!B41)</f>
        <v>5.6000000000000001E-2</v>
      </c>
      <c r="G48" s="2545" t="s">
        <v>1336</v>
      </c>
      <c r="H48" s="2546" t="s">
        <v>3479</v>
      </c>
      <c r="I48" s="1802"/>
      <c r="J48" s="2519">
        <v>3</v>
      </c>
      <c r="K48" s="3609" t="s">
        <v>1337</v>
      </c>
      <c r="L48" s="3609"/>
      <c r="M48" s="3612">
        <f ca="1">H101</f>
        <v>14901</v>
      </c>
      <c r="N48" s="3612"/>
      <c r="O48" s="3612"/>
    </row>
    <row r="49" spans="1:35" ht="25.5" customHeight="1">
      <c r="A49" s="2329" t="s">
        <v>1338</v>
      </c>
      <c r="B49" s="3657" t="s">
        <v>1339</v>
      </c>
      <c r="C49" s="3657"/>
      <c r="D49" s="1586">
        <v>0</v>
      </c>
      <c r="E49" s="324" t="s">
        <v>1340</v>
      </c>
      <c r="F49" s="2420" t="s">
        <v>28</v>
      </c>
      <c r="G49" s="3640"/>
      <c r="H49" s="2306" t="s">
        <v>2129</v>
      </c>
      <c r="I49" s="2307"/>
      <c r="J49" s="2519">
        <v>4</v>
      </c>
      <c r="K49" s="3609" t="str">
        <f>IF(项目基本情况!E8="房地产抵押价值","房地产抵押价值","抵押担保权已注销时的房地产抵押价值")</f>
        <v>房地产抵押价值</v>
      </c>
      <c r="L49" s="3609"/>
      <c r="M49" s="3612">
        <f ca="1">IF(项目基本情况!E8="房地产抵押价值",H107,H109)</f>
        <v>14901</v>
      </c>
      <c r="N49" s="3612"/>
      <c r="O49" s="3612"/>
    </row>
    <row r="50" spans="1:35" ht="25.5" customHeight="1">
      <c r="A50" s="2547"/>
      <c r="B50" s="3657" t="s">
        <v>1341</v>
      </c>
      <c r="C50" s="3657"/>
      <c r="D50" s="2548"/>
      <c r="E50" s="332"/>
      <c r="F50" s="2420"/>
      <c r="G50" s="3641"/>
      <c r="H50" s="2308" t="s">
        <v>2130</v>
      </c>
      <c r="I50" s="2307"/>
      <c r="J50" s="3608" t="s">
        <v>1342</v>
      </c>
      <c r="K50" s="3608"/>
      <c r="L50" s="3608"/>
      <c r="M50" s="3608"/>
      <c r="N50" s="3608"/>
      <c r="O50" s="3608"/>
    </row>
    <row r="51" spans="1:35" ht="20.45" customHeight="1">
      <c r="A51" s="2549"/>
      <c r="B51" s="3657" t="s">
        <v>1343</v>
      </c>
      <c r="C51" s="3657"/>
      <c r="D51" s="1083"/>
      <c r="E51" s="327"/>
      <c r="F51" s="2420"/>
      <c r="G51" s="3642"/>
      <c r="H51" s="2308" t="s">
        <v>2131</v>
      </c>
      <c r="I51" s="2307"/>
      <c r="J51" s="2520" t="s">
        <v>1344</v>
      </c>
      <c r="K51" s="3609" t="s">
        <v>1345</v>
      </c>
      <c r="L51" s="3609"/>
      <c r="M51" s="2520" t="s">
        <v>1346</v>
      </c>
      <c r="N51" s="2520" t="s">
        <v>1347</v>
      </c>
      <c r="O51" s="2520" t="s">
        <v>1348</v>
      </c>
    </row>
    <row r="52" spans="1:35" ht="24" customHeight="1">
      <c r="A52" s="2331" t="s">
        <v>1349</v>
      </c>
      <c r="B52" s="3657" t="s">
        <v>1350</v>
      </c>
      <c r="C52" s="3657"/>
      <c r="D52" s="1083">
        <f ca="1">ROUND(D45*'数据-取费表'!B41/(1+'数据-取费表'!C42),0)</f>
        <v>795</v>
      </c>
      <c r="E52" s="2330" t="s">
        <v>1351</v>
      </c>
      <c r="F52" s="2550">
        <f>'数据-取费表'!B41</f>
        <v>5.6000000000000001E-2</v>
      </c>
      <c r="G52" s="2551"/>
      <c r="H52" s="2540"/>
      <c r="I52" s="1803"/>
      <c r="J52" s="2519">
        <v>1</v>
      </c>
      <c r="K52" s="3634" t="s">
        <v>1352</v>
      </c>
      <c r="L52" s="3634"/>
      <c r="M52" s="2521">
        <f ca="1">D48</f>
        <v>795</v>
      </c>
      <c r="N52" s="2519" t="str">
        <f>E48</f>
        <v>销售额×税（费）率</v>
      </c>
      <c r="O52" s="2522">
        <f>F48</f>
        <v>5.6000000000000001E-2</v>
      </c>
    </row>
    <row r="53" spans="1:35" ht="12" customHeight="1">
      <c r="A53" s="2331" t="s">
        <v>1353</v>
      </c>
      <c r="B53" s="3658" t="s">
        <v>2286</v>
      </c>
      <c r="C53" s="3659"/>
      <c r="D53" s="1083">
        <f ca="1">ROUND(D45*'数据-取费表'!B41/(1+'数据-取费表'!C42),0)</f>
        <v>795</v>
      </c>
      <c r="E53" s="2330" t="s">
        <v>1351</v>
      </c>
      <c r="F53" s="2550">
        <f>'数据-取费表'!B41</f>
        <v>5.6000000000000001E-2</v>
      </c>
      <c r="G53" s="2551"/>
      <c r="H53" s="2540"/>
      <c r="I53" s="1803"/>
      <c r="J53" s="2519">
        <v>2</v>
      </c>
      <c r="K53" s="3634" t="s">
        <v>1354</v>
      </c>
      <c r="L53" s="3634"/>
      <c r="M53" s="2521">
        <f t="shared" ref="M53:O54" ca="1" si="0">D55</f>
        <v>7</v>
      </c>
      <c r="N53" s="2519" t="str">
        <f t="shared" si="0"/>
        <v>销售额×税（费）率</v>
      </c>
      <c r="O53" s="2522">
        <f t="shared" si="0"/>
        <v>5.0000000000000001E-4</v>
      </c>
    </row>
    <row r="54" spans="1:35" ht="12" customHeight="1">
      <c r="A54" s="2331" t="s">
        <v>1355</v>
      </c>
      <c r="B54" s="3658" t="s">
        <v>2287</v>
      </c>
      <c r="C54" s="3659"/>
      <c r="D54" s="1083">
        <f ca="1">C68</f>
        <v>795</v>
      </c>
      <c r="E54" s="327" t="s">
        <v>1356</v>
      </c>
      <c r="F54" s="2550">
        <f>'数据-取费表'!B41</f>
        <v>5.6000000000000001E-2</v>
      </c>
      <c r="G54" s="2551"/>
      <c r="H54" s="2552"/>
      <c r="I54" s="1803"/>
      <c r="J54" s="2519">
        <v>3</v>
      </c>
      <c r="K54" s="3634" t="s">
        <v>1357</v>
      </c>
      <c r="L54" s="3634"/>
      <c r="M54" s="2521">
        <f t="shared" ca="1" si="0"/>
        <v>0</v>
      </c>
      <c r="N54" s="2519" t="str">
        <f t="shared" si="0"/>
        <v>增值额×税（费）率</v>
      </c>
      <c r="O54" s="2523" t="str">
        <f t="shared" si="0"/>
        <v>——</v>
      </c>
      <c r="Q54" s="724">
        <f ca="1">M49*0.05/1.05</f>
        <v>709.57142857142856</v>
      </c>
    </row>
    <row r="55" spans="1:35" ht="24" customHeight="1">
      <c r="A55" s="3694" t="s">
        <v>1358</v>
      </c>
      <c r="B55" s="3672"/>
      <c r="C55" s="3672"/>
      <c r="D55" s="2320">
        <f ca="1">IF(H55="个人住宅",0,ROUND(D45*I55,0))</f>
        <v>7</v>
      </c>
      <c r="E55" s="2330" t="s">
        <v>1359</v>
      </c>
      <c r="F55" s="2550">
        <f>IF(H55="正常",I55,"免征")</f>
        <v>5.0000000000000001E-4</v>
      </c>
      <c r="G55" s="2551"/>
      <c r="H55" s="2546" t="s">
        <v>3392</v>
      </c>
      <c r="I55" s="165">
        <f>'数据-取费表'!B49</f>
        <v>5.0000000000000001E-4</v>
      </c>
      <c r="J55" s="2519" t="str">
        <f>IF(H59="非个人房产","",4)</f>
        <v/>
      </c>
      <c r="K55" s="3634" t="str">
        <f>IF(H59="非个人房产","——","个人所得税")</f>
        <v>——</v>
      </c>
      <c r="L55" s="3634"/>
      <c r="M55" s="2524" t="str">
        <f>D59</f>
        <v>——</v>
      </c>
      <c r="N55" s="2036" t="str">
        <f>E59</f>
        <v>——</v>
      </c>
      <c r="O55" s="2525" t="str">
        <f>F59</f>
        <v>——</v>
      </c>
    </row>
    <row r="56" spans="1:35" ht="24.75">
      <c r="A56" s="3694" t="s">
        <v>1360</v>
      </c>
      <c r="B56" s="3672"/>
      <c r="C56" s="3672"/>
      <c r="D56" s="2320">
        <f ca="1">IF(H56="个人住宅",D57,D58)</f>
        <v>0</v>
      </c>
      <c r="E56" s="2330" t="s">
        <v>1361</v>
      </c>
      <c r="F56" s="2550" t="str">
        <f>IF(H56="正常",F58,"免征")</f>
        <v>——</v>
      </c>
      <c r="G56" s="2553" t="s">
        <v>1362</v>
      </c>
      <c r="H56" s="2554" t="s">
        <v>3392</v>
      </c>
      <c r="I56" s="1804"/>
      <c r="J56" s="2519" t="str">
        <f>IF(项目基本情况!K6="上海银行",IF(J55="",4,J55+1),"")</f>
        <v/>
      </c>
      <c r="K56" s="3615" t="str">
        <f>IF(项目基本情况!K6="上海银行","其他处置费用","")</f>
        <v/>
      </c>
      <c r="L56" s="3616"/>
      <c r="M56" s="2521" t="str">
        <f>IF(项目基本情况!K6="上海银行",M69,"")</f>
        <v/>
      </c>
      <c r="N56" s="3615" t="str">
        <f>IF(项目基本情况!K6="上海银行","包含处置中涉及的律师、诉讼、拍卖、评估等费用","")</f>
        <v/>
      </c>
      <c r="O56" s="3618"/>
    </row>
    <row r="57" spans="1:35" ht="12.75">
      <c r="A57" s="2331" t="s">
        <v>1338</v>
      </c>
      <c r="B57" s="3658" t="s">
        <v>1363</v>
      </c>
      <c r="C57" s="3659"/>
      <c r="D57" s="1586">
        <v>0</v>
      </c>
      <c r="E57" s="324" t="s">
        <v>1340</v>
      </c>
      <c r="F57" s="302"/>
      <c r="G57" s="2551"/>
      <c r="H57" s="2555"/>
      <c r="I57" s="1804"/>
      <c r="J57" s="3634">
        <f>IF(AND(J55="",J56=""),4,IF(项目基本情况!K6="上海银行",结果表!J56+1,结果表!J55+1))</f>
        <v>4</v>
      </c>
      <c r="K57" s="3634" t="s">
        <v>1364</v>
      </c>
      <c r="L57" s="2526" t="s">
        <v>1365</v>
      </c>
      <c r="M57" s="2527"/>
      <c r="N57" s="2528">
        <f ca="1">SUMIF(M52:M56,"&lt;9e307")</f>
        <v>802</v>
      </c>
      <c r="O57" s="2529"/>
      <c r="P57" s="2686">
        <f ca="1">N57/M49</f>
        <v>5.3821891148245087E-2</v>
      </c>
    </row>
    <row r="58" spans="1:35" ht="24.75">
      <c r="A58" s="2331" t="s">
        <v>1349</v>
      </c>
      <c r="B58" s="3658" t="s">
        <v>1366</v>
      </c>
      <c r="C58" s="3657"/>
      <c r="D58" s="2320">
        <f ca="1">IF(H58="转让取得",C81,C97)</f>
        <v>0</v>
      </c>
      <c r="E58" s="2330" t="s">
        <v>1361</v>
      </c>
      <c r="F58" s="302" t="s">
        <v>28</v>
      </c>
      <c r="G58" s="2551"/>
      <c r="H58" s="2554" t="s">
        <v>3480</v>
      </c>
      <c r="I58" s="1804"/>
      <c r="J58" s="3634"/>
      <c r="K58" s="3634"/>
      <c r="L58" s="2526" t="s">
        <v>1367</v>
      </c>
      <c r="M58" s="2530"/>
      <c r="N58" s="2531" t="str">
        <f ca="1">NUMBERSTRING(INT(N57*10000),2)&amp;"元整"</f>
        <v>捌佰零贰万元整</v>
      </c>
      <c r="O58" s="2532"/>
    </row>
    <row r="59" spans="1:35" ht="24.75" thickBot="1">
      <c r="A59" s="3638" t="s">
        <v>1368</v>
      </c>
      <c r="B59" s="3639"/>
      <c r="C59" s="363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3481</v>
      </c>
      <c r="I59" s="2309" t="s">
        <v>2132</v>
      </c>
      <c r="J59" s="3636">
        <f>J57+1</f>
        <v>5</v>
      </c>
      <c r="K59" s="3634" t="s">
        <v>1369</v>
      </c>
      <c r="L59" s="2519" t="s">
        <v>1365</v>
      </c>
      <c r="M59" s="2533"/>
      <c r="N59" s="2534">
        <f ca="1">M49-N57</f>
        <v>14099</v>
      </c>
      <c r="O59" s="2535"/>
    </row>
    <row r="60" spans="1:35" ht="12" customHeight="1">
      <c r="A60" s="1805"/>
      <c r="B60" s="1743"/>
      <c r="C60" s="1743"/>
      <c r="D60" s="1743"/>
      <c r="E60" s="1574"/>
      <c r="F60" s="1804"/>
      <c r="G60" s="1804"/>
      <c r="H60" s="1806"/>
      <c r="I60" s="129"/>
      <c r="J60" s="3637"/>
      <c r="K60" s="3634"/>
      <c r="L60" s="2526" t="s">
        <v>1367</v>
      </c>
      <c r="M60" s="2530"/>
      <c r="N60" s="2531" t="str">
        <f ca="1">NUMBERSTRING(INT(N59*10000),2)&amp;"元整"</f>
        <v>壹亿肆仟零玖拾玖万元整</v>
      </c>
      <c r="O60" s="2532"/>
    </row>
    <row r="61" spans="1:35" ht="13.5" thickBot="1">
      <c r="A61" s="3693" t="s">
        <v>1370</v>
      </c>
      <c r="B61" s="3693"/>
      <c r="C61" s="3693"/>
      <c r="D61" s="3693"/>
      <c r="E61" s="3693"/>
      <c r="F61" s="1804"/>
      <c r="G61" s="1804"/>
      <c r="H61" s="1806"/>
      <c r="I61" s="129"/>
      <c r="J61" s="2519">
        <f>J59+1</f>
        <v>6</v>
      </c>
      <c r="K61" s="3634" t="s">
        <v>1371</v>
      </c>
      <c r="L61" s="3634"/>
      <c r="M61" s="2536"/>
      <c r="N61" s="2537">
        <f ca="1">ROUND(N59*10000/'数据-汇总表'!E3,0)</f>
        <v>6970</v>
      </c>
      <c r="O61" s="2538"/>
    </row>
    <row r="62" spans="1:35" ht="12.75">
      <c r="A62" s="3653" t="s">
        <v>1372</v>
      </c>
      <c r="B62" s="3654"/>
      <c r="C62" s="2017"/>
      <c r="D62" s="2017" t="s">
        <v>1373</v>
      </c>
      <c r="E62" s="166" t="s">
        <v>1374</v>
      </c>
      <c r="F62" s="1804"/>
      <c r="G62" s="1804"/>
      <c r="H62" s="1806"/>
      <c r="I62" s="129"/>
    </row>
    <row r="63" spans="1:35" ht="12.75">
      <c r="A63" s="173" t="s">
        <v>329</v>
      </c>
      <c r="B63" s="167" t="s">
        <v>1375</v>
      </c>
      <c r="C63" s="2560">
        <f ca="1">ROUND((C64+C65)/(1+'数据-取费表'!C42),0)</f>
        <v>14191</v>
      </c>
      <c r="D63" s="167"/>
      <c r="E63" s="168"/>
      <c r="F63" s="1804"/>
      <c r="G63" s="1804"/>
      <c r="H63" s="1806"/>
      <c r="I63" s="129"/>
      <c r="J63" s="3617" t="s">
        <v>1376</v>
      </c>
      <c r="K63" s="1328" t="s">
        <v>1377</v>
      </c>
      <c r="L63" s="1328">
        <f ca="1">IF(M49&gt;10000,M49*0.5%,IF(AND(M49&gt;1000,M49&lt;=10000),M49*1%,IF(AND(M49&gt;100,M49&lt;=1000),M49*3%,IF(AND(M49&gt;10,M49&lt;=100),M49*5%,M49*8%))))</f>
        <v>74.504999999999995</v>
      </c>
      <c r="M63" s="302">
        <f ca="1">ROUND(L63,1)</f>
        <v>74.5</v>
      </c>
      <c r="N63" s="2539"/>
      <c r="Z63" s="1748"/>
      <c r="AI63" s="1749"/>
    </row>
    <row r="64" spans="1:35" ht="14.25" customHeight="1">
      <c r="A64" s="169" t="s">
        <v>324</v>
      </c>
      <c r="B64" s="170" t="s">
        <v>1378</v>
      </c>
      <c r="C64" s="2561">
        <f ca="1">D45</f>
        <v>14901</v>
      </c>
      <c r="D64" s="170" t="s">
        <v>26</v>
      </c>
      <c r="E64" s="172"/>
      <c r="F64" s="1804"/>
      <c r="G64" s="1804"/>
      <c r="H64" s="1806"/>
      <c r="I64" s="129"/>
      <c r="J64" s="3617"/>
      <c r="K64" s="1328" t="s">
        <v>1379</v>
      </c>
      <c r="L64" s="1328">
        <f ca="1">IF(M49&gt;2000,M49*0.5%,IF(AND(M49&gt;1000,M49&lt;=2000),M49*0.6%,IF(AND(M49&gt;500,M49&lt;=1000),M49*0.7%,IF(AND(M49&gt;200,M49&lt;=500),M49*0.8%,IF(AND(M49&gt;100,M49&lt;=200),M49*0.9%,IF(AND(M49&gt;50,M49&lt;=100),M49*1%,IF(AND(M49&gt;20,M49&lt;=50),M49*1.5%,IF(AND(M49&gt;10,M49&lt;=20),M49*2%,IF(AND(M49&gt;1,M49&lt;=10),M49*2.5%)))))))))</f>
        <v>74.504999999999995</v>
      </c>
      <c r="M64" s="302">
        <f t="shared" ref="M64:M65" ca="1" si="1">ROUND(L64,1)</f>
        <v>74.5</v>
      </c>
      <c r="N64" s="2540" t="s">
        <v>1380</v>
      </c>
      <c r="Z64" s="1748"/>
      <c r="AI64" s="1749"/>
    </row>
    <row r="65" spans="1:35" ht="14.25" customHeight="1">
      <c r="A65" s="169" t="s">
        <v>325</v>
      </c>
      <c r="B65" s="170" t="s">
        <v>1381</v>
      </c>
      <c r="C65" s="2562"/>
      <c r="D65" s="170"/>
      <c r="E65" s="172"/>
      <c r="F65" s="1804"/>
      <c r="G65" s="1804"/>
      <c r="H65" s="1806"/>
      <c r="I65" s="129"/>
      <c r="J65" s="3617"/>
      <c r="K65" s="1328" t="s">
        <v>1382</v>
      </c>
      <c r="L65" s="1328">
        <f ca="1">IF(M49&gt;1000,M49*0.1%,IF(AND(M49&gt;500,M49&lt;=1000),M49*0.5%,IF(AND(M49&gt;50,M49&lt;=500),M49*1%,IF(AND(M49&gt;1,M49&lt;=50),M49*1.5%))))</f>
        <v>14.901</v>
      </c>
      <c r="M65" s="302">
        <f t="shared" ca="1" si="1"/>
        <v>14.9</v>
      </c>
      <c r="N65" s="2540" t="s">
        <v>1380</v>
      </c>
      <c r="Z65" s="1748"/>
      <c r="AI65" s="1749"/>
    </row>
    <row r="66" spans="1:35" ht="14.25" customHeight="1">
      <c r="A66" s="173" t="s">
        <v>326</v>
      </c>
      <c r="B66" s="174" t="s">
        <v>1383</v>
      </c>
      <c r="C66" s="2563"/>
      <c r="D66" s="174" t="s">
        <v>26</v>
      </c>
      <c r="E66" s="1334" t="s">
        <v>670</v>
      </c>
      <c r="F66" s="1804"/>
      <c r="G66" s="1804"/>
      <c r="H66" s="1806"/>
      <c r="I66" s="129"/>
      <c r="J66" s="3617"/>
      <c r="K66" s="1328" t="s">
        <v>1384</v>
      </c>
      <c r="L66" s="1328">
        <f ca="1">M49*0.5%</f>
        <v>74.504999999999995</v>
      </c>
      <c r="M66" s="302">
        <f ca="1">IF(L66&gt;0.5,0.5,ROUND(L66,0))</f>
        <v>0.5</v>
      </c>
      <c r="N66" s="2540" t="s">
        <v>1385</v>
      </c>
      <c r="Z66" s="1748"/>
      <c r="AI66" s="1749"/>
    </row>
    <row r="67" spans="1:35" ht="14.25" customHeight="1">
      <c r="A67" s="173" t="s">
        <v>327</v>
      </c>
      <c r="B67" s="174" t="s">
        <v>1386</v>
      </c>
      <c r="C67" s="2564">
        <f ca="1">C63-C66</f>
        <v>14191</v>
      </c>
      <c r="D67" s="170" t="s">
        <v>26</v>
      </c>
      <c r="E67" s="172"/>
      <c r="F67" s="1804"/>
      <c r="G67" s="1804"/>
      <c r="H67" s="1806"/>
      <c r="I67" s="129"/>
      <c r="J67" s="3617"/>
      <c r="K67" s="1328" t="s">
        <v>1387</v>
      </c>
      <c r="L67" s="1328">
        <f ca="1">IF(M49&gt;=10000,(8.25+(M49-10000)*0.01%),IF(AND(M49&gt;=8000,M49&lt;10000),(7.85+(M49-8000)*0.02%),IF(AND(M49&gt;=5000,M49&lt;8000),(6.65+(M49-5000)*0.04%),IF(AND(M49&gt;=2000,M49&lt;5000),(4.25+(PM49-2000)*0.08%),IF(AND(M49&gt;=1000,M49&lt;2000),(2.75+(M49-1000)*0.15%),IF(AND(M49&gt;=100,M49&lt;1000),(0.5+(M49-100)*0.25%),IF(AND(M49&gt;0,M49&lt;100),M49*0.5%)))))))</f>
        <v>8.7401</v>
      </c>
      <c r="M67" s="302">
        <f ca="1">ROUND(L67*0.9,1)</f>
        <v>7.9</v>
      </c>
      <c r="N67" s="2539"/>
      <c r="Z67" s="1748"/>
      <c r="AI67" s="1749"/>
    </row>
    <row r="68" spans="1:35" ht="14.25" customHeight="1" thickBot="1">
      <c r="A68" s="176" t="s">
        <v>328</v>
      </c>
      <c r="B68" s="177" t="s">
        <v>1388</v>
      </c>
      <c r="C68" s="2565">
        <f ca="1">IF(C67&lt;=0,0,ROUND(C67*D68,0))</f>
        <v>795</v>
      </c>
      <c r="D68" s="2566">
        <f>'数据-取费表'!B41</f>
        <v>5.6000000000000001E-2</v>
      </c>
      <c r="E68" s="178"/>
      <c r="F68" s="1804"/>
      <c r="G68" s="1804"/>
      <c r="H68" s="1806"/>
      <c r="I68" s="129"/>
      <c r="J68" s="3617"/>
      <c r="K68" s="1328" t="s">
        <v>1389</v>
      </c>
      <c r="L68" s="1328">
        <f ca="1">IF(M49&gt;10000,M49*0.5%,IF(AND(M49&gt;5000,M49&lt;=10000),M49*1%,IF(AND(M49&gt;1000,M49&lt;=5000),M49*2%,IF(AND(M49&gt;200,M49&lt;=1000),M49*3%,M49*5%))))</f>
        <v>74.504999999999995</v>
      </c>
      <c r="M68" s="302">
        <f ca="1">ROUND(L68,1)</f>
        <v>74.5</v>
      </c>
      <c r="N68" s="2539"/>
      <c r="Z68" s="1748"/>
      <c r="AI68" s="1749"/>
    </row>
    <row r="69" spans="1:35" s="1768" customFormat="1" ht="16.5" customHeight="1">
      <c r="A69" s="1807"/>
      <c r="B69" s="1808"/>
      <c r="C69" s="1809"/>
      <c r="D69" s="1810"/>
      <c r="E69" s="1811"/>
      <c r="F69" s="1574"/>
      <c r="G69" s="1574"/>
      <c r="H69" s="1573"/>
      <c r="I69" s="1743"/>
      <c r="J69" s="3617"/>
      <c r="K69" s="1328" t="s">
        <v>1390</v>
      </c>
      <c r="L69" s="1328"/>
      <c r="M69" s="302">
        <f ca="1">ROUND(SUM(M63:M68),0)</f>
        <v>247</v>
      </c>
      <c r="N69" s="2541">
        <f ca="1">M69/M49</f>
        <v>1.6576068720220119E-2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1" t="s">
        <v>1391</v>
      </c>
      <c r="B70" s="3662"/>
      <c r="C70" s="3662"/>
      <c r="D70" s="3662"/>
      <c r="E70" s="3662"/>
      <c r="F70" s="3662"/>
      <c r="G70" s="3662"/>
      <c r="H70" s="366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3" t="s">
        <v>1372</v>
      </c>
      <c r="B71" s="3654"/>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14191</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85</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8" t="s">
        <v>1399</v>
      </c>
      <c r="F76" s="3657"/>
      <c r="G76" s="3657"/>
      <c r="H76" s="366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85</v>
      </c>
      <c r="D78" s="2573">
        <f>'数据-取费表'!B43</f>
        <v>6.000000000000001E-3</v>
      </c>
      <c r="E78" s="3650" t="s">
        <v>1403</v>
      </c>
      <c r="F78" s="3651"/>
      <c r="G78" s="3651"/>
      <c r="H78" s="365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14106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165.95294117647057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8434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1" t="s">
        <v>1407</v>
      </c>
      <c r="B83" s="3662"/>
      <c r="C83" s="3662"/>
      <c r="D83" s="3662"/>
      <c r="E83" s="3662"/>
      <c r="F83" s="3662"/>
      <c r="G83" s="3662"/>
      <c r="H83" s="366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3" t="s">
        <v>1372</v>
      </c>
      <c r="B84" s="3654"/>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14191</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31062.187000000002</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3482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19" t="s">
        <v>2124</v>
      </c>
      <c r="H90" s="362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5816</v>
      </c>
      <c r="D91" s="2573"/>
      <c r="E91" s="3650" t="s">
        <v>1416</v>
      </c>
      <c r="F91" s="3651"/>
      <c r="G91" s="3651"/>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2383</v>
      </c>
      <c r="D92" s="2579">
        <v>0.1</v>
      </c>
      <c r="E92" s="3650" t="s">
        <v>1419</v>
      </c>
      <c r="F92" s="3651"/>
      <c r="G92" s="3651"/>
      <c r="H92" s="3652"/>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85</v>
      </c>
      <c r="D93" s="2573">
        <f>'数据-取费表'!B43</f>
        <v>6.000000000000001E-3</v>
      </c>
      <c r="E93" s="3650" t="s">
        <v>1403</v>
      </c>
      <c r="F93" s="3651"/>
      <c r="G93" s="3651"/>
      <c r="H93" s="365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4766</v>
      </c>
      <c r="D94" s="2573">
        <v>0.2</v>
      </c>
      <c r="E94" s="3695" t="s">
        <v>1423</v>
      </c>
      <c r="F94" s="3696"/>
      <c r="G94" s="3696"/>
      <c r="H94" s="369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-16871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0" t="s">
        <v>1425</v>
      </c>
      <c r="B100" s="3601"/>
      <c r="C100" s="3601"/>
      <c r="D100" s="3635"/>
      <c r="E100" s="3601" t="s">
        <v>1426</v>
      </c>
      <c r="F100" s="3601"/>
      <c r="G100" s="3601"/>
      <c r="H100" s="3635"/>
      <c r="I100" s="129"/>
    </row>
    <row r="101" spans="1:35" ht="18.75" customHeight="1">
      <c r="A101" s="3643" t="s">
        <v>1427</v>
      </c>
      <c r="B101" s="3644"/>
      <c r="C101" s="2581" t="str">
        <f>C4</f>
        <v>成本法</v>
      </c>
      <c r="D101" s="2582" t="str">
        <f>D4</f>
        <v>收益法</v>
      </c>
      <c r="E101" s="3613" t="s">
        <v>1428</v>
      </c>
      <c r="F101" s="3614"/>
      <c r="G101" s="1823" t="s">
        <v>1429</v>
      </c>
      <c r="H101" s="2591">
        <f ca="1">H118</f>
        <v>14901</v>
      </c>
      <c r="I101" s="129"/>
    </row>
    <row r="102" spans="1:35" ht="18.75" customHeight="1">
      <c r="A102" s="3645" t="s">
        <v>1430</v>
      </c>
      <c r="B102" s="2580" t="s">
        <v>1429</v>
      </c>
      <c r="C102" s="2581">
        <f ca="1">IF(D32="楼面单价",ROUND(C19,0),C19)</f>
        <v>13671</v>
      </c>
      <c r="D102" s="2582">
        <f ca="1">IF(D32="楼面单价",ROUND(D19,0),D19)</f>
        <v>16131</v>
      </c>
      <c r="E102" s="3613"/>
      <c r="F102" s="3614"/>
      <c r="G102" s="1823" t="s">
        <v>1431</v>
      </c>
      <c r="H102" s="2551">
        <f ca="1">I118</f>
        <v>7366</v>
      </c>
      <c r="I102" s="129"/>
    </row>
    <row r="103" spans="1:35" ht="42.75" customHeight="1">
      <c r="A103" s="3645"/>
      <c r="B103" s="2580" t="s">
        <v>1431</v>
      </c>
      <c r="C103" s="2583">
        <f ca="1">C20</f>
        <v>6758</v>
      </c>
      <c r="D103" s="2584">
        <f ca="1">D20</f>
        <v>7974</v>
      </c>
      <c r="E103" s="3606" t="s">
        <v>1432</v>
      </c>
      <c r="F103" s="3607"/>
      <c r="G103" s="1824" t="s">
        <v>1433</v>
      </c>
      <c r="H103" s="2591">
        <f>IF(D36="正常操作",H104+H105+H106,H105+H106)</f>
        <v>0</v>
      </c>
      <c r="I103" s="129"/>
    </row>
    <row r="104" spans="1:35" ht="18.75" customHeight="1">
      <c r="A104" s="3645" t="s">
        <v>1434</v>
      </c>
      <c r="B104" s="2585" t="s">
        <v>1429</v>
      </c>
      <c r="C104" s="2586">
        <f ca="1">H118</f>
        <v>14901</v>
      </c>
      <c r="D104" s="2587"/>
      <c r="E104" s="1670" t="s">
        <v>1435</v>
      </c>
      <c r="F104" s="1662"/>
      <c r="G104" s="1824" t="s">
        <v>1433</v>
      </c>
      <c r="H104" s="2592">
        <f>IF(D36="同一抵押权人同一抵押物续贷",C36&amp;"（续贷，未扣减，详见特别提示）",C36)</f>
        <v>0</v>
      </c>
      <c r="I104" s="129"/>
    </row>
    <row r="105" spans="1:35" ht="18.75" customHeight="1" thickBot="1">
      <c r="A105" s="3655"/>
      <c r="B105" s="2588" t="s">
        <v>1431</v>
      </c>
      <c r="C105" s="2589">
        <f ca="1">I118</f>
        <v>7366</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6" t="str">
        <f>IF(项目基本情况!E8="已注销","——","3.房地产抵押价值")</f>
        <v>3.房地产抵押价值</v>
      </c>
      <c r="F107" s="3614"/>
      <c r="G107" s="1823" t="s">
        <v>1429</v>
      </c>
      <c r="H107" s="2591">
        <f ca="1">IF(E107="——","——",H101-H103)</f>
        <v>14901</v>
      </c>
      <c r="I107" s="129"/>
    </row>
    <row r="108" spans="1:35" ht="18.75" customHeight="1">
      <c r="A108" s="129"/>
      <c r="B108" s="129"/>
      <c r="C108" s="129"/>
      <c r="D108" s="129"/>
      <c r="E108" s="3646"/>
      <c r="F108" s="3614"/>
      <c r="G108" s="1823" t="s">
        <v>1431</v>
      </c>
      <c r="H108" s="2551">
        <f ca="1">IF(H107=H101,H102,ROUND(H107*10000/'数据-汇总表'!E3,0))</f>
        <v>7366</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14"/>
      <c r="G109" s="1823" t="s">
        <v>1429</v>
      </c>
      <c r="H109" s="2594" t="str">
        <f>IF(E109="——","——",H101-H105-H106)</f>
        <v>——</v>
      </c>
      <c r="I109" s="129"/>
    </row>
    <row r="110" spans="1:35" ht="18.75" customHeight="1">
      <c r="A110" s="129"/>
      <c r="B110" s="129"/>
      <c r="C110" s="129"/>
      <c r="D110" s="129"/>
      <c r="E110" s="3646"/>
      <c r="F110" s="3614"/>
      <c r="G110" s="1823" t="s">
        <v>1431</v>
      </c>
      <c r="H110" s="2551"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4.抵押净值</v>
      </c>
      <c r="F111" s="3633"/>
      <c r="G111" s="1823" t="s">
        <v>1429</v>
      </c>
      <c r="H111" s="2591">
        <f ca="1">IF(E111="——","——",N59)</f>
        <v>14099</v>
      </c>
      <c r="I111" s="129"/>
    </row>
    <row r="112" spans="1:35" ht="18.75" customHeight="1" thickBot="1">
      <c r="A112" s="129"/>
      <c r="B112" s="129"/>
      <c r="C112" s="129"/>
      <c r="D112" s="129"/>
      <c r="E112" s="3648"/>
      <c r="F112" s="3649"/>
      <c r="G112" s="1826" t="s">
        <v>1431</v>
      </c>
      <c r="H112" s="2595">
        <f ca="1">IF(E111="——","——",N61)</f>
        <v>6970</v>
      </c>
      <c r="I112" s="129"/>
    </row>
    <row r="113" spans="1:27" ht="18.75" customHeight="1">
      <c r="A113" s="129"/>
      <c r="B113" s="129"/>
      <c r="C113" s="129"/>
      <c r="D113" s="129"/>
      <c r="E113" s="3656" t="s">
        <v>1437</v>
      </c>
      <c r="F113" s="3656"/>
      <c r="G113" s="3656"/>
      <c r="H113" s="3656"/>
      <c r="I113" s="129"/>
    </row>
    <row r="114" spans="1:27" ht="3.75" customHeight="1">
      <c r="A114" s="1743"/>
      <c r="B114" s="1743"/>
      <c r="C114" s="1743"/>
      <c r="D114" s="1743"/>
      <c r="E114" s="1805"/>
      <c r="F114" s="1805"/>
      <c r="G114" s="1805"/>
      <c r="H114" s="1805"/>
      <c r="I114" s="1743"/>
    </row>
    <row r="115" spans="1:27" ht="18.75" customHeight="1">
      <c r="A115" s="3664" t="s">
        <v>1439</v>
      </c>
      <c r="B115" s="3665"/>
      <c r="C115" s="3665"/>
      <c r="D115" s="3665"/>
      <c r="E115" s="3665"/>
      <c r="F115" s="3665"/>
      <c r="G115" s="3665"/>
      <c r="H115" s="3665"/>
      <c r="I115" s="3666"/>
    </row>
    <row r="116" spans="1:27" ht="27" customHeight="1">
      <c r="A116" s="3621" t="s">
        <v>1440</v>
      </c>
      <c r="B116" s="3625" t="s">
        <v>1441</v>
      </c>
      <c r="C116" s="3625" t="s">
        <v>1442</v>
      </c>
      <c r="D116" s="3631" t="s">
        <v>1443</v>
      </c>
      <c r="E116" s="3632"/>
      <c r="F116" s="3663" t="s">
        <v>1444</v>
      </c>
      <c r="G116" s="3663"/>
      <c r="H116" s="3621" t="s">
        <v>1445</v>
      </c>
      <c r="I116" s="3621"/>
    </row>
    <row r="117" spans="1:27" ht="18.75" customHeight="1">
      <c r="A117" s="3621"/>
      <c r="B117" s="3626"/>
      <c r="C117" s="3626"/>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20228.239999999998</v>
      </c>
      <c r="C118" s="2325">
        <f>M19</f>
        <v>73586.240000000005</v>
      </c>
      <c r="D118" s="2325">
        <f ca="1">ROUND(IF(D32="总价",C34,E118*B118/10000),0)</f>
        <v>9656</v>
      </c>
      <c r="E118" s="2325">
        <f ca="1">ROUND(IF(C33="自定义",IF(D32="楼面单价",C34,D118*10000/B118),I118-G118),0)</f>
        <v>4773</v>
      </c>
      <c r="F118" s="2325">
        <f ca="1">ROUND(IF(D32="总价",C35,G118*B118/10000),0)</f>
        <v>5245</v>
      </c>
      <c r="G118" s="2325">
        <f ca="1">ROUND(IF(D32="楼面单价",C35,F118*10000/B118),0)</f>
        <v>2593</v>
      </c>
      <c r="H118" s="2325">
        <f ca="1">ROUND(IF(D32="总价",C32,I118*B118/10000),0)</f>
        <v>14901</v>
      </c>
      <c r="I118" s="2325">
        <f ca="1">ROUND(IF(D32="楼面单价",C32,H118*10000/B118),0)</f>
        <v>7366</v>
      </c>
    </row>
    <row r="119" spans="1:27" ht="18.75" customHeight="1">
      <c r="A119" s="3621" t="s">
        <v>1449</v>
      </c>
      <c r="B119" s="3621"/>
      <c r="C119" s="3621"/>
      <c r="D119" s="3627" t="str">
        <f ca="1">NUMBERSTRING(INT(D118*10000),2)&amp;"元整"</f>
        <v>玖仟陆佰伍拾陆万元整</v>
      </c>
      <c r="E119" s="3628"/>
      <c r="F119" s="3627" t="str">
        <f ca="1">NUMBERSTRING(INT(F118*10000),2)&amp;"元整"</f>
        <v>伍仟贰佰肆拾伍万元整</v>
      </c>
      <c r="G119" s="3628"/>
      <c r="H119" s="3627" t="str">
        <f ca="1">NUMBERSTRING(INT(H118*10000),2)&amp;"元整"</f>
        <v>壹亿肆仟玖佰零壹万元整</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7" t="s">
        <v>1449</v>
      </c>
      <c r="B121" s="3629"/>
      <c r="C121" s="3628"/>
      <c r="D121" s="3627" t="str">
        <f>IF(D120=0,"零元整",NUMBERSTRING(INT(D120*10000),2)&amp;"元整")</f>
        <v>零元整</v>
      </c>
      <c r="E121" s="3629"/>
      <c r="F121" s="3629"/>
      <c r="G121" s="3629"/>
      <c r="H121" s="3629"/>
      <c r="I121" s="3628"/>
      <c r="AA121" s="724"/>
    </row>
    <row r="122" spans="1:27" ht="18.75" customHeight="1">
      <c r="A122" s="3633" t="str">
        <f>IF(项目基本情况!B9="房地产市场价值","",MID(E107,3,LEN(E107)-2))</f>
        <v>房地产抵押价值</v>
      </c>
      <c r="B122" s="3633"/>
      <c r="C122" s="3633"/>
      <c r="D122" s="3622">
        <f ca="1">H107</f>
        <v>14901</v>
      </c>
      <c r="E122" s="3623"/>
      <c r="F122" s="3623"/>
      <c r="G122" s="3623"/>
      <c r="H122" s="3623"/>
      <c r="I122" s="3624"/>
      <c r="AA122" s="724"/>
    </row>
    <row r="123" spans="1:27" ht="18.75" customHeight="1">
      <c r="A123" s="3621" t="s">
        <v>1449</v>
      </c>
      <c r="B123" s="3621"/>
      <c r="C123" s="3621"/>
      <c r="D123" s="3627" t="str">
        <f ca="1">NUMBERSTRING(INT(D122*10000),2)&amp;"元整"</f>
        <v>壹亿肆仟玖佰零壹万元整</v>
      </c>
      <c r="E123" s="3629"/>
      <c r="F123" s="3629"/>
      <c r="G123" s="3629"/>
      <c r="H123" s="3629"/>
      <c r="I123" s="3628"/>
      <c r="AA123" s="724"/>
    </row>
    <row r="124" spans="1:27" ht="18.75" customHeight="1">
      <c r="A124" s="3633" t="str">
        <f>IF(项目基本情况!B9="房地产市场价值","",MID(E109,3,LEN(E109)-2))</f>
        <v/>
      </c>
      <c r="B124" s="3633"/>
      <c r="C124" s="3633"/>
      <c r="D124" s="3622" t="str">
        <f>H109</f>
        <v>——</v>
      </c>
      <c r="E124" s="3623"/>
      <c r="F124" s="3623"/>
      <c r="G124" s="3623"/>
      <c r="H124" s="3623"/>
      <c r="I124" s="3624"/>
      <c r="AA124" s="724"/>
    </row>
    <row r="125" spans="1:27" ht="18.75" customHeight="1">
      <c r="A125" s="3621" t="s">
        <v>1449</v>
      </c>
      <c r="B125" s="3621"/>
      <c r="C125" s="3621"/>
      <c r="D125" s="3627" t="e">
        <f>NUMBERSTRING(INT(D124*10000),2)&amp;"元整"</f>
        <v>#VALUE!</v>
      </c>
      <c r="E125" s="3629"/>
      <c r="F125" s="3629"/>
      <c r="G125" s="3629"/>
      <c r="H125" s="3629"/>
      <c r="I125" s="3628"/>
      <c r="AA125" s="724"/>
    </row>
    <row r="126" spans="1:27" ht="18.75" customHeight="1">
      <c r="A126" s="3633" t="str">
        <f>IF(项目基本情况!B9="房地产市场价值","",MID(E111,3,LEN(E111)-2))</f>
        <v>抵押净值</v>
      </c>
      <c r="B126" s="3633"/>
      <c r="C126" s="3633"/>
      <c r="D126" s="3622">
        <f ca="1">H111</f>
        <v>14099</v>
      </c>
      <c r="E126" s="3623"/>
      <c r="F126" s="3623"/>
      <c r="G126" s="3623"/>
      <c r="H126" s="3623"/>
      <c r="I126" s="3624"/>
      <c r="AA126" s="724"/>
    </row>
    <row r="127" spans="1:27" ht="18.75" customHeight="1">
      <c r="A127" s="3621" t="s">
        <v>1449</v>
      </c>
      <c r="B127" s="3621"/>
      <c r="C127" s="3621"/>
      <c r="D127" s="3627" t="str">
        <f ca="1">NUMBERSTRING(INT(D126*10000),2)&amp;"元整"</f>
        <v>壹亿肆仟零玖拾玖万元整</v>
      </c>
      <c r="E127" s="3629"/>
      <c r="F127" s="3629"/>
      <c r="G127" s="3629"/>
      <c r="H127" s="3629"/>
      <c r="I127" s="3628"/>
      <c r="AA127" s="724"/>
    </row>
    <row r="128" spans="1:27" ht="21.75" customHeight="1">
      <c r="A128" s="3630" t="s">
        <v>1450</v>
      </c>
      <c r="B128" s="3630"/>
      <c r="C128" s="3630"/>
      <c r="D128" s="3630"/>
      <c r="E128" s="3630"/>
      <c r="F128" s="3630"/>
      <c r="G128" s="3630"/>
      <c r="H128" s="3630"/>
      <c r="I128" s="3630"/>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7" t="str">
        <f>项目基本情况!B1</f>
        <v>北京市房地产抵押价值预评估</v>
      </c>
      <c r="C37" s="3517"/>
      <c r="D37" s="3517"/>
      <c r="E37" s="3517"/>
      <c r="F37" s="3517"/>
      <c r="G37" s="3517"/>
      <c r="H37" s="3517"/>
      <c r="I37" s="3517"/>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7</v>
      </c>
    </row>
    <row r="2" spans="1:9" s="200" customFormat="1" ht="18" customHeight="1">
      <c r="A2" s="201" t="s">
        <v>1459</v>
      </c>
      <c r="B2" s="202">
        <f ca="1">IF(D2="——",C52,C52-E2)</f>
        <v>13671</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6758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7230</v>
      </c>
      <c r="D5" s="211" t="s">
        <v>1466</v>
      </c>
      <c r="E5" s="212" t="s">
        <v>1467</v>
      </c>
      <c r="F5" s="212" t="s">
        <v>1468</v>
      </c>
      <c r="G5" s="213"/>
    </row>
    <row r="6" spans="1:9" s="214" customFormat="1" ht="13.5" customHeight="1">
      <c r="A6" s="774" t="s">
        <v>1469</v>
      </c>
      <c r="B6" s="215" t="s">
        <v>1470</v>
      </c>
      <c r="C6" s="216">
        <f>基准地价修正!B2</f>
        <v>6623</v>
      </c>
      <c r="D6" s="217"/>
      <c r="E6" s="218"/>
      <c r="F6" s="218"/>
      <c r="G6" s="219"/>
    </row>
    <row r="7" spans="1:9" s="214" customFormat="1" ht="13.5" customHeight="1">
      <c r="A7" s="774" t="s">
        <v>1471</v>
      </c>
      <c r="B7" s="215" t="s">
        <v>1472</v>
      </c>
      <c r="C7" s="220">
        <f>ROUND(C6*F7,0)</f>
        <v>202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405</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405</v>
      </c>
      <c r="D10" s="841">
        <f ca="1">IF(B1="",'数据-汇总表'!E6,IF(INDIRECT("'数据-取费表'!c"&amp;$G$1)="住宅",INDIRECT("'数据-取费表'!s"&amp;$G$1),INDIRECT("'数据-取费表'!k"&amp;$G$1)+INDIRECT("'数据-取费表'!s"&amp;$G$1)))</f>
        <v>20228.239999999998</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20228.239999999998</v>
      </c>
      <c r="E19" s="211">
        <f>'数据-取费表'!B31</f>
        <v>200</v>
      </c>
      <c r="F19" s="231"/>
      <c r="G19" s="1852" t="s">
        <v>3434</v>
      </c>
    </row>
    <row r="20" spans="1:7" s="214" customFormat="1" ht="13.5" customHeight="1">
      <c r="A20" s="255" t="s">
        <v>1490</v>
      </c>
      <c r="B20" s="210" t="s">
        <v>1491</v>
      </c>
      <c r="C20" s="232">
        <f>ROUND((C5+C19)*F20,0)</f>
        <v>217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383</v>
      </c>
      <c r="D22" s="235">
        <f ca="1">C26</f>
        <v>5.0000000000000001E-4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377</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6</v>
      </c>
      <c r="D25" s="238"/>
      <c r="E25" s="241"/>
      <c r="F25" s="239"/>
      <c r="G25" s="242" t="s">
        <v>1507</v>
      </c>
    </row>
    <row r="26" spans="1:7" s="214" customFormat="1">
      <c r="A26" s="776" t="s">
        <v>349</v>
      </c>
      <c r="B26" s="215" t="s">
        <v>1508</v>
      </c>
      <c r="C26" s="238">
        <f ca="1">ROUND(IF('数据-取费表'!B22&lt;=1,F21*F22*'数据-取费表'!B23/2,F21*(POWER((1+F22),'数据-取费表'!B23/2)-1)),4)</f>
        <v>5.0000000000000001E-4</v>
      </c>
      <c r="D26" s="238"/>
      <c r="E26" s="241"/>
      <c r="F26" s="239"/>
      <c r="G26" s="243"/>
    </row>
    <row r="27" spans="1:7" s="214" customFormat="1" ht="24.75">
      <c r="A27" s="255" t="s">
        <v>1509</v>
      </c>
      <c r="B27" s="244" t="s">
        <v>1510</v>
      </c>
      <c r="C27" s="245">
        <f ca="1">C28</f>
        <v>372</v>
      </c>
      <c r="D27" s="235">
        <f ca="1">C29</f>
        <v>1E-3</v>
      </c>
      <c r="E27" s="236" t="s">
        <v>1511</v>
      </c>
      <c r="F27" s="246">
        <f ca="1">IF(B1="",'数据-取费表'!Q16,INDIRECT("'数据-取费表'!q"&amp;$G$1))</f>
        <v>0.05</v>
      </c>
      <c r="G27" s="247" t="s">
        <v>1512</v>
      </c>
    </row>
    <row r="28" spans="1:7" s="214" customFormat="1" ht="13.5" customHeight="1">
      <c r="A28" s="776" t="s">
        <v>345</v>
      </c>
      <c r="B28" s="248" t="s">
        <v>1513</v>
      </c>
      <c r="C28" s="249">
        <f ca="1">ROUND((C5+C19+C20)*F27*'数据-取费表'!B21/'数据-取费表'!B20,0)</f>
        <v>372</v>
      </c>
      <c r="D28" s="235"/>
      <c r="E28" s="236"/>
      <c r="F28" s="246"/>
      <c r="G28" s="247"/>
    </row>
    <row r="29" spans="1:7" s="214" customFormat="1" ht="13.5" customHeight="1">
      <c r="A29" s="776" t="s">
        <v>346</v>
      </c>
      <c r="B29" s="248" t="s">
        <v>1514</v>
      </c>
      <c r="C29" s="238">
        <f ca="1">ROUND(C21*F27*'数据-取费表'!B21/'数据-取费表'!B20,4)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8865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5816</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5057</v>
      </c>
      <c r="D34" s="217"/>
      <c r="E34" s="220"/>
      <c r="F34" s="257">
        <f ca="1">IF('数据-取费表'!B24=0,1,IF(B1="",'数据-取费表'!N16,INDIRECT("'数据-取费表'!n"&amp;$G$1)))</f>
        <v>1</v>
      </c>
      <c r="G34" s="219" t="s">
        <v>1523</v>
      </c>
    </row>
    <row r="35" spans="1:7" ht="13.5" customHeight="1">
      <c r="A35" s="776" t="s">
        <v>350</v>
      </c>
      <c r="B35" s="215" t="s">
        <v>1524</v>
      </c>
      <c r="C35" s="220">
        <f ca="1">ROUND(C34*F35,0)</f>
        <v>253</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405</v>
      </c>
      <c r="D37" s="217">
        <f ca="1">D19</f>
        <v>20228.239999999998</v>
      </c>
      <c r="E37" s="249">
        <f>'数据-取费表'!B35</f>
        <v>200</v>
      </c>
      <c r="F37" s="259"/>
      <c r="G37" s="261" t="s">
        <v>1529</v>
      </c>
    </row>
    <row r="38" spans="1:7" ht="13.5" customHeight="1">
      <c r="A38" s="776" t="s">
        <v>353</v>
      </c>
      <c r="B38" s="215" t="s">
        <v>1530</v>
      </c>
      <c r="C38" s="220">
        <f ca="1">ROUND(C34*F38,0)</f>
        <v>101</v>
      </c>
      <c r="D38" s="220"/>
      <c r="E38" s="220"/>
      <c r="F38" s="259">
        <f>'数据-取费表'!B36</f>
        <v>0.02</v>
      </c>
      <c r="G38" s="219" t="s">
        <v>1525</v>
      </c>
    </row>
    <row r="39" spans="1:7" s="214" customFormat="1" ht="13.5" customHeight="1">
      <c r="A39" s="255" t="s">
        <v>1531</v>
      </c>
      <c r="B39" s="210" t="s">
        <v>1532</v>
      </c>
      <c r="C39" s="232">
        <f ca="1">ROUND(C33*F20,0)</f>
        <v>174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154</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150</v>
      </c>
      <c r="D42" s="238"/>
      <c r="E42" s="238"/>
      <c r="F42" s="239"/>
      <c r="G42" s="3700" t="s">
        <v>1541</v>
      </c>
    </row>
    <row r="43" spans="1:7" ht="13.5" customHeight="1">
      <c r="A43" s="776" t="s">
        <v>346</v>
      </c>
      <c r="B43" s="215" t="s">
        <v>1542</v>
      </c>
      <c r="C43" s="238">
        <f ca="1">ROUND(IF('数据-取费表'!B22&lt;=1,C39*F22*'数据-取费表'!B21/2,C39*(POWER((1+F22),'数据-取费表'!B21/2)-1)),0)</f>
        <v>4</v>
      </c>
      <c r="D43" s="238"/>
      <c r="E43" s="238"/>
      <c r="F43" s="239"/>
      <c r="G43" s="3701"/>
    </row>
    <row r="44" spans="1:7" ht="13.5" customHeight="1">
      <c r="A44" s="776" t="s">
        <v>347</v>
      </c>
      <c r="B44" s="215" t="s">
        <v>1543</v>
      </c>
      <c r="C44" s="238">
        <f ca="1">ROUND(IF('数据-取费表'!B22&lt;=1,C40*F22*'数据-取费表'!B21/2,C40*(POWER((1+F22),'数据-取费表'!B21/2)-1)),4)</f>
        <v>5.0000000000000001E-4</v>
      </c>
      <c r="D44" s="238"/>
      <c r="E44" s="238"/>
      <c r="F44" s="239"/>
      <c r="G44" s="3702"/>
    </row>
    <row r="45" spans="1:7" s="214" customFormat="1" ht="13.5" customHeight="1">
      <c r="A45" s="255" t="s">
        <v>1544</v>
      </c>
      <c r="B45" s="244" t="s">
        <v>1510</v>
      </c>
      <c r="C45" s="245">
        <f ca="1">C46</f>
        <v>300</v>
      </c>
      <c r="D45" s="235">
        <f ca="1">C47</f>
        <v>1E-3</v>
      </c>
      <c r="E45" s="236" t="s">
        <v>1536</v>
      </c>
      <c r="F45" s="246">
        <f ca="1">F27</f>
        <v>0.05</v>
      </c>
      <c r="G45" s="247" t="s">
        <v>1545</v>
      </c>
    </row>
    <row r="46" spans="1:7" s="214" customFormat="1" ht="13.5" customHeight="1">
      <c r="A46" s="776" t="s">
        <v>345</v>
      </c>
      <c r="B46" s="248" t="s">
        <v>1546</v>
      </c>
      <c r="C46" s="249">
        <f ca="1">ROUND((C33+C39)*F27,0)</f>
        <v>300</v>
      </c>
      <c r="D46" s="263"/>
      <c r="E46" s="236"/>
      <c r="F46" s="246"/>
      <c r="G46" s="247"/>
    </row>
    <row r="47" spans="1:7" s="214" customFormat="1" ht="13.5" customHeight="1">
      <c r="A47" s="776" t="s">
        <v>346</v>
      </c>
      <c r="B47" s="248" t="s">
        <v>1547</v>
      </c>
      <c r="C47" s="238">
        <f ca="1">ROUND(C40*F27,4)</f>
        <v>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6965</v>
      </c>
      <c r="D49" s="232"/>
      <c r="E49" s="232"/>
      <c r="F49" s="264"/>
      <c r="G49" s="234" t="s">
        <v>1551</v>
      </c>
    </row>
    <row r="50" spans="1:7" s="258" customFormat="1" ht="24">
      <c r="A50" s="255" t="s">
        <v>1552</v>
      </c>
      <c r="B50" s="210" t="s">
        <v>1553</v>
      </c>
      <c r="C50" s="232"/>
      <c r="D50" s="232"/>
      <c r="E50" s="232"/>
      <c r="F50" s="264">
        <f>IF('数据-取费表'!B24=0,'数据-取费表'!N16,1)</f>
        <v>0.69</v>
      </c>
      <c r="G50" s="247" t="s">
        <v>1554</v>
      </c>
    </row>
    <row r="51" spans="1:7" ht="16.5" customHeight="1">
      <c r="A51" s="255" t="s">
        <v>1555</v>
      </c>
      <c r="B51" s="210" t="s">
        <v>1556</v>
      </c>
      <c r="C51" s="232">
        <f ca="1">ROUND(C49*F50,0)</f>
        <v>4806</v>
      </c>
      <c r="D51" s="232"/>
      <c r="E51" s="232"/>
      <c r="F51" s="264"/>
      <c r="G51" s="234" t="s">
        <v>1557</v>
      </c>
    </row>
    <row r="52" spans="1:7" s="208" customFormat="1" ht="16.5" thickBot="1">
      <c r="A52" s="265" t="s">
        <v>1558</v>
      </c>
      <c r="B52" s="266"/>
      <c r="C52" s="267">
        <f ca="1">C31+C51</f>
        <v>13671</v>
      </c>
      <c r="D52" s="266"/>
      <c r="E52" s="266"/>
      <c r="F52" s="266"/>
      <c r="G52" s="268"/>
    </row>
    <row r="55" spans="1:7" ht="15">
      <c r="B55" s="270" t="s">
        <v>1559</v>
      </c>
      <c r="C55" s="271"/>
    </row>
    <row r="56" spans="1:7">
      <c r="B56" s="273" t="s">
        <v>801</v>
      </c>
      <c r="C56" s="275">
        <f ca="1">1-C57</f>
        <v>0.64800000000000002</v>
      </c>
    </row>
    <row r="57" spans="1:7">
      <c r="B57" s="273" t="s">
        <v>802</v>
      </c>
      <c r="C57" s="274">
        <f ca="1">ROUND(C51/C52,3)</f>
        <v>0.35199999999999998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7</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20228.239999999998</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20228.239999999998</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405</v>
      </c>
      <c r="D20" s="842">
        <f ca="1">IF(C1="",'数据-汇总表'!E6,IF(INDIRECT("'数据-取费表'!c"&amp;$K$1)="住宅",INDIRECT("'数据-取费表'!s"&amp;$K$1),INDIRECT("'数据-取费表'!k"&amp;$K$1)+INDIRECT("'数据-取费表'!s"&amp;$K$1)))</f>
        <v>20228.239999999998</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0.05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16131</v>
      </c>
      <c r="C2" s="1868" t="s">
        <v>1648</v>
      </c>
      <c r="D2" s="1869" t="s">
        <v>1649</v>
      </c>
      <c r="E2" s="2603">
        <f>SUM(E6:E13)</f>
        <v>20228.239999999998</v>
      </c>
      <c r="F2" s="2703"/>
      <c r="G2" s="1485"/>
      <c r="H2" s="1485"/>
      <c r="I2" s="1485"/>
      <c r="J2" s="1485"/>
      <c r="K2" s="1485"/>
      <c r="L2" s="1485"/>
      <c r="M2" s="1485"/>
      <c r="N2" s="1485"/>
      <c r="O2" s="1485"/>
      <c r="P2" s="1485"/>
      <c r="Q2" s="1485"/>
      <c r="R2" s="1485"/>
      <c r="S2" s="1485"/>
    </row>
    <row r="3" spans="1:22" ht="15.75">
      <c r="A3" s="1866" t="s">
        <v>685</v>
      </c>
      <c r="B3" s="2597">
        <f ca="1">ROUND(B2*10000/E2,0)</f>
        <v>7974</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3" t="s">
        <v>1651</v>
      </c>
      <c r="C5" s="3704"/>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16131</v>
      </c>
      <c r="C6" s="1868" t="s">
        <v>1648</v>
      </c>
      <c r="D6" s="2705"/>
      <c r="E6" s="2602">
        <f>IF(OR(A6=0,F6="否"),0,'数据-取费表'!K6+'数据-取费表'!S6)</f>
        <v>20228.239999999998</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v>
      </c>
      <c r="D1" s="1358" t="s">
        <v>43</v>
      </c>
      <c r="E1" s="1359" t="s">
        <v>677</v>
      </c>
      <c r="F1" s="1058">
        <f ca="1">J53</f>
        <v>31</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16131</v>
      </c>
      <c r="C2" s="1383" t="s">
        <v>804</v>
      </c>
      <c r="D2" s="1383"/>
      <c r="E2" s="1384"/>
      <c r="F2" s="1385"/>
      <c r="G2" s="2702"/>
      <c r="H2" s="2691"/>
      <c r="I2" s="2691"/>
      <c r="J2" s="2691"/>
      <c r="K2" s="2692"/>
      <c r="L2" s="2691"/>
      <c r="M2" s="2691"/>
    </row>
    <row r="3" spans="1:37" ht="18" customHeight="1" thickBot="1">
      <c r="A3" s="1386" t="s">
        <v>805</v>
      </c>
      <c r="B3" s="1387">
        <f ca="1">IF(ISERROR(B2*10000/F43),0,ROUND(B2*10000/F43,0))</f>
        <v>7974</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1257</v>
      </c>
      <c r="D5" s="1360" t="s">
        <v>692</v>
      </c>
      <c r="E5" s="1067"/>
      <c r="F5" s="1068"/>
      <c r="G5" s="1380"/>
      <c r="H5" s="299">
        <v>1</v>
      </c>
      <c r="I5" s="300" t="s">
        <v>691</v>
      </c>
      <c r="J5" s="1066">
        <f ca="1">J6+J10+J12</f>
        <v>0</v>
      </c>
      <c r="K5" s="1360" t="s">
        <v>692</v>
      </c>
      <c r="L5" s="1067"/>
      <c r="M5" s="1068"/>
    </row>
    <row r="6" spans="1:37" ht="18" customHeight="1">
      <c r="A6" s="1065" t="s">
        <v>397</v>
      </c>
      <c r="B6" s="3705" t="s">
        <v>693</v>
      </c>
      <c r="C6" s="1070">
        <f ca="1">ROUND(F6*F8*F7*(1-F9)/10000,0)</f>
        <v>1255</v>
      </c>
      <c r="D6" s="155" t="s">
        <v>2104</v>
      </c>
      <c r="E6" s="302" t="s">
        <v>695</v>
      </c>
      <c r="F6" s="303">
        <f ca="1">INDIRECT("'数据-取费表'!u"&amp;$G$1)</f>
        <v>2</v>
      </c>
      <c r="G6" s="1380"/>
      <c r="H6" s="1065" t="s">
        <v>397</v>
      </c>
      <c r="I6" s="3705" t="s">
        <v>693</v>
      </c>
      <c r="J6" s="301">
        <f ca="1">ROUND(M6*M8*M7*(1-M9)/10000,0)</f>
        <v>0</v>
      </c>
      <c r="K6" s="155" t="s">
        <v>2103</v>
      </c>
      <c r="L6" s="302" t="s">
        <v>695</v>
      </c>
      <c r="M6" s="303">
        <f ca="1">INDIRECT("'数据-取费表'!z"&amp;$G$1)</f>
        <v>0</v>
      </c>
    </row>
    <row r="7" spans="1:37" ht="18" customHeight="1">
      <c r="A7" s="1069"/>
      <c r="B7" s="3706"/>
      <c r="C7" s="1071"/>
      <c r="D7" s="307"/>
      <c r="E7" s="3489" t="s">
        <v>696</v>
      </c>
      <c r="F7" s="303">
        <f ca="1">IF(INDIRECT("'数据-取费表'!ah"&amp;$G$1)="",INDIRECT("'数据-取费表'!k"&amp;$G$1),INDIRECT("'数据-取费表'!ah"&amp;$G$1))</f>
        <v>20228.239999999998</v>
      </c>
      <c r="G7" s="1380"/>
      <c r="H7" s="304"/>
      <c r="I7" s="3706"/>
      <c r="J7" s="306"/>
      <c r="K7" s="307"/>
      <c r="L7" s="302" t="s">
        <v>696</v>
      </c>
      <c r="M7" s="303">
        <f ca="1">F7</f>
        <v>20228.239999999998</v>
      </c>
    </row>
    <row r="8" spans="1:37" ht="18" customHeight="1">
      <c r="A8" s="304"/>
      <c r="B8" s="3706"/>
      <c r="C8" s="306"/>
      <c r="D8" s="307"/>
      <c r="E8" s="302" t="s">
        <v>697</v>
      </c>
      <c r="F8" s="303">
        <f ca="1">INDIRECT("'数据-取费表'!ai"&amp;$G$1)</f>
        <v>365</v>
      </c>
      <c r="G8" s="1380"/>
      <c r="H8" s="304"/>
      <c r="I8" s="3706"/>
      <c r="J8" s="306"/>
      <c r="K8" s="307"/>
      <c r="L8" s="302" t="s">
        <v>697</v>
      </c>
      <c r="M8" s="303">
        <f ca="1">INDIRECT("'数据-取费表'!ai"&amp;$G$1)</f>
        <v>365</v>
      </c>
    </row>
    <row r="9" spans="1:37" ht="18" customHeight="1">
      <c r="A9" s="304"/>
      <c r="B9" s="3707"/>
      <c r="C9" s="306"/>
      <c r="D9" s="307"/>
      <c r="E9" s="302" t="s">
        <v>698</v>
      </c>
      <c r="F9" s="312">
        <f ca="1">INDIRECT("'数据-取费表'!w"&amp;$G$1)</f>
        <v>0.15</v>
      </c>
      <c r="G9" s="1380"/>
      <c r="H9" s="304"/>
      <c r="I9" s="3707"/>
      <c r="J9" s="306"/>
      <c r="K9" s="307"/>
      <c r="L9" s="313" t="s">
        <v>698</v>
      </c>
      <c r="M9" s="314">
        <f ca="1">INDIRECT("'数据-取费表'!ab"&amp;$G$1)</f>
        <v>0</v>
      </c>
    </row>
    <row r="10" spans="1:37" ht="18" customHeight="1">
      <c r="A10" s="1065" t="s">
        <v>401</v>
      </c>
      <c r="B10" s="1361" t="s">
        <v>699</v>
      </c>
      <c r="C10" s="316">
        <f ca="1">ROUND(IF(F10="押一",C6/12*F11,IF(F10="押二",C6/12*2*F11,IF(F10="押三",C6/12*3*F11,C11*F11))),0)</f>
        <v>2</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4806</v>
      </c>
      <c r="D13" s="3486" t="s">
        <v>704</v>
      </c>
      <c r="E13" s="3486" t="s">
        <v>705</v>
      </c>
      <c r="F13" s="1078">
        <f ca="1">INDIRECT("'数据-取费表'!y"&amp;$G$1)</f>
        <v>0.69</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5057</v>
      </c>
      <c r="D14" s="3496" t="s">
        <v>707</v>
      </c>
      <c r="E14" s="3495"/>
      <c r="F14" s="319"/>
      <c r="G14" s="1380"/>
      <c r="H14" s="978" t="s">
        <v>397</v>
      </c>
      <c r="I14" s="302" t="s">
        <v>708</v>
      </c>
      <c r="J14" s="21">
        <f ca="1">C29</f>
        <v>6965</v>
      </c>
      <c r="K14" s="3488"/>
      <c r="L14" s="803"/>
      <c r="M14" s="804"/>
    </row>
    <row r="15" spans="1:37" s="1393" customFormat="1" ht="18" customHeight="1" thickBot="1">
      <c r="A15" s="978" t="s">
        <v>398</v>
      </c>
      <c r="B15" s="302" t="s">
        <v>709</v>
      </c>
      <c r="C15" s="21">
        <f ca="1">ROUND(C14*F15,0)</f>
        <v>253</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167</v>
      </c>
      <c r="K16" s="1083" t="s">
        <v>714</v>
      </c>
      <c r="L16" s="3498"/>
      <c r="M16" s="1068"/>
    </row>
    <row r="17" spans="1:37" s="1393" customFormat="1" ht="18" customHeight="1">
      <c r="A17" s="978" t="s">
        <v>680</v>
      </c>
      <c r="B17" s="302" t="s">
        <v>715</v>
      </c>
      <c r="C17" s="21">
        <f ca="1">ROUND(F17*(F43+INDIRECT("'数据-取费表'!S"&amp;$G$1))/10000,0)</f>
        <v>405</v>
      </c>
      <c r="D17" s="302" t="s">
        <v>716</v>
      </c>
      <c r="E17" s="302" t="s">
        <v>717</v>
      </c>
      <c r="F17" s="23">
        <f>'数据-取费表'!B35</f>
        <v>200</v>
      </c>
      <c r="G17" s="1392"/>
      <c r="H17" s="978" t="s">
        <v>397</v>
      </c>
      <c r="I17" s="302" t="s">
        <v>718</v>
      </c>
      <c r="J17" s="2312">
        <f ca="1">ROUND(IF(AND(项目基本情况!B11="自然人",项目基本情况!B10="北京市"),J6*M17/(1+'数据-取费表'!C42),J18+J19+J20),2)</f>
        <v>132.46</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101</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5816</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174</v>
      </c>
      <c r="D20" s="2424" t="s">
        <v>728</v>
      </c>
      <c r="E20" s="302" t="s">
        <v>711</v>
      </c>
      <c r="F20" s="322">
        <f>'数据-取费表'!B37</f>
        <v>0.03</v>
      </c>
      <c r="G20" s="1392"/>
      <c r="H20" s="978" t="s">
        <v>679</v>
      </c>
      <c r="I20" s="155" t="s">
        <v>729</v>
      </c>
      <c r="J20" s="22">
        <f ca="1">ROUND(M20*M21/10000,2)</f>
        <v>132.46</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73586.240000000005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34.83</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154</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-167</v>
      </c>
      <c r="K25" s="1091" t="s">
        <v>752</v>
      </c>
      <c r="L25" s="1092"/>
      <c r="M25" s="1093"/>
    </row>
    <row r="26" spans="1:37">
      <c r="A26" s="978" t="s">
        <v>396</v>
      </c>
      <c r="B26" s="302" t="s">
        <v>753</v>
      </c>
      <c r="C26" s="21">
        <f ca="1">ROUND((C19+C20)*F26,0)</f>
        <v>300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6965</v>
      </c>
      <c r="D29" s="1088"/>
      <c r="E29" s="1086"/>
      <c r="F29" s="1089"/>
      <c r="G29" s="1392"/>
      <c r="H29" s="334" t="s">
        <v>395</v>
      </c>
      <c r="I29" s="335" t="s">
        <v>767</v>
      </c>
      <c r="J29" s="336">
        <f ca="1">ROUND(J26/(1+F40)^F41,0)</f>
        <v>0</v>
      </c>
      <c r="K29" s="337" t="s">
        <v>768</v>
      </c>
      <c r="L29" s="338"/>
      <c r="M29" s="339">
        <f ca="1">INDIRECT("'数据-取费表'!k"&amp;$G$1)</f>
        <v>20228.239999999998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389</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342.82</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66.930000000000007</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143.43</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132.46</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73586.240000000005</v>
      </c>
      <c r="G35" s="1380"/>
      <c r="H35" s="2693"/>
      <c r="I35" s="1394"/>
      <c r="J35" s="1395" t="e">
        <f ca="1">C5+'收益法-商业'!C5</f>
        <v>#N/A</v>
      </c>
      <c r="K35" s="2697"/>
      <c r="L35" s="2696"/>
      <c r="M35" s="2696"/>
    </row>
    <row r="36" spans="1:18" ht="18" customHeight="1">
      <c r="A36" s="1098" t="s">
        <v>401</v>
      </c>
      <c r="B36" s="302" t="s">
        <v>737</v>
      </c>
      <c r="C36" s="21">
        <f ca="1">ROUND(C29*F36,2)</f>
        <v>34.83</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4.8099999999999996</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6.29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868</v>
      </c>
      <c r="D39" s="1091" t="s">
        <v>772</v>
      </c>
      <c r="E39" s="1092"/>
      <c r="F39" s="1093"/>
      <c r="G39" s="1380"/>
      <c r="H39" s="2696"/>
      <c r="I39" s="1394">
        <f ca="1">C39/C6</f>
        <v>0.69163346613545817</v>
      </c>
      <c r="J39" s="1395"/>
      <c r="K39" s="2700"/>
      <c r="L39" s="2696"/>
      <c r="M39" s="2696"/>
    </row>
    <row r="40" spans="1:18" ht="18" customHeight="1">
      <c r="A40" s="299" t="s">
        <v>394</v>
      </c>
      <c r="B40" s="300" t="s">
        <v>773</v>
      </c>
      <c r="C40" s="301">
        <f ca="1">ROUND(C39*(1-((1+F42)/(1+F40))^F41)/(F40-F42),0)</f>
        <v>16086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7952</v>
      </c>
      <c r="D43" s="337" t="s">
        <v>776</v>
      </c>
      <c r="E43" s="338" t="s">
        <v>777</v>
      </c>
      <c r="F43" s="339">
        <f ca="1">INDIRECT("'数据-取费表'!k"&amp;$G$1)</f>
        <v>20228.239999999998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-18619</v>
      </c>
      <c r="D46" s="1402" t="str">
        <f>C2</f>
        <v>万元</v>
      </c>
      <c r="E46" s="1396"/>
      <c r="F46" s="1396"/>
      <c r="I46" s="1403" t="s">
        <v>809</v>
      </c>
      <c r="J46" s="1404"/>
      <c r="K46" s="1405"/>
      <c r="L46" s="1406">
        <f ca="1">IF(M47="住宅",0,IF(L48&gt;J51,L60,J60))</f>
        <v>45</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16086</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31.39</v>
      </c>
      <c r="O48" s="1414" t="s">
        <v>403</v>
      </c>
      <c r="P48" s="1415" t="s">
        <v>820</v>
      </c>
      <c r="Q48" s="1416" t="str">
        <f ca="1">J60</f>
        <v>0</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1995</v>
      </c>
      <c r="K49" s="1419" t="s">
        <v>823</v>
      </c>
      <c r="L49" s="1423"/>
      <c r="O49" s="1424" t="s">
        <v>404</v>
      </c>
      <c r="P49" s="1415" t="s">
        <v>824</v>
      </c>
      <c r="Q49" s="1416">
        <f ca="1">C29</f>
        <v>6965</v>
      </c>
      <c r="R49" s="1416" t="s">
        <v>817</v>
      </c>
    </row>
    <row r="50" spans="1:18" s="1380" customFormat="1" ht="13.5" thickBot="1">
      <c r="A50" s="972"/>
      <c r="B50" s="975"/>
      <c r="C50" s="1114"/>
      <c r="D50" s="949"/>
      <c r="E50" s="1052" t="s">
        <v>696</v>
      </c>
      <c r="F50" s="1053">
        <f ca="1">F7</f>
        <v>20228.239999999998</v>
      </c>
      <c r="H50" s="722"/>
      <c r="I50" s="1417" t="s">
        <v>825</v>
      </c>
      <c r="J50" s="1425">
        <f>SUMPRODUCT((I63:I65=J47)*(J62:L62=J48)*(J63:L65))</f>
        <v>60</v>
      </c>
      <c r="K50" s="1419" t="s">
        <v>826</v>
      </c>
      <c r="L50" s="1423">
        <f>基准地价修正!B2</f>
        <v>6623</v>
      </c>
      <c r="M50" s="1426"/>
      <c r="O50" s="1424" t="s">
        <v>405</v>
      </c>
      <c r="P50" s="1415" t="s">
        <v>827</v>
      </c>
      <c r="Q50" s="1427" t="e">
        <f ca="1">J58</f>
        <v>#VALUE!</v>
      </c>
      <c r="R50" s="1416"/>
    </row>
    <row r="51" spans="1:18" s="1380" customFormat="1" ht="13.5" thickBot="1">
      <c r="A51" s="973"/>
      <c r="B51" s="975"/>
      <c r="C51" s="976"/>
      <c r="D51" s="949"/>
      <c r="E51" s="977" t="s">
        <v>697</v>
      </c>
      <c r="F51" s="303">
        <f ca="1">F8</f>
        <v>365</v>
      </c>
      <c r="I51" s="1428" t="s">
        <v>828</v>
      </c>
      <c r="J51" s="1429">
        <f>IF(J49="",J50,J49+J50-YEAR('数据-取费表'!B2))</f>
        <v>31</v>
      </c>
      <c r="K51" s="1430" t="s">
        <v>829</v>
      </c>
      <c r="L51" s="1431">
        <f ca="1">ROUND(-PV(INDIRECT("'数据-取费表'!h"&amp;$G$1),J51,(C39-C13*C76),0),0)</f>
        <v>8289</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f>'数据-取费表'!H6</f>
        <v>0.05</v>
      </c>
      <c r="O52" s="1424" t="s">
        <v>407</v>
      </c>
      <c r="P52" s="1415" t="s">
        <v>833</v>
      </c>
      <c r="Q52" s="1416">
        <f ca="1">J53</f>
        <v>31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31</v>
      </c>
      <c r="K53" s="3708" t="s">
        <v>836</v>
      </c>
      <c r="L53" s="3709"/>
      <c r="O53" s="1414" t="s">
        <v>408</v>
      </c>
      <c r="P53" s="1415" t="s">
        <v>837</v>
      </c>
      <c r="Q53" s="1416">
        <f ca="1">Q47+Q48</f>
        <v>16086</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t="e">
        <f ca="1">ROUND(IF(J47="钢混",J57/J50,1-(1-2%)*(J50-J57)/J50),3)</f>
        <v>#VALUE!</v>
      </c>
      <c r="K55" s="1441" t="s">
        <v>840</v>
      </c>
      <c r="L55" s="1442" t="s">
        <v>3502</v>
      </c>
      <c r="O55" s="1407" t="s">
        <v>810</v>
      </c>
      <c r="P55" s="1408" t="s">
        <v>811</v>
      </c>
      <c r="Q55" s="1409" t="s">
        <v>812</v>
      </c>
      <c r="R55" s="1409" t="s">
        <v>813</v>
      </c>
    </row>
    <row r="56" spans="1:18" s="1380" customFormat="1" ht="25.5" thickTop="1" thickBot="1">
      <c r="A56" s="953">
        <v>2</v>
      </c>
      <c r="B56" s="954" t="s">
        <v>703</v>
      </c>
      <c r="C56" s="232">
        <f ca="1">C13</f>
        <v>4806</v>
      </c>
      <c r="D56" s="1443"/>
      <c r="E56" s="1444"/>
      <c r="F56" s="1436"/>
      <c r="I56" s="1445" t="s">
        <v>841</v>
      </c>
      <c r="J56" s="1446" t="s">
        <v>3380</v>
      </c>
      <c r="K56" s="1417" t="s">
        <v>842</v>
      </c>
      <c r="L56" s="1420">
        <f ca="1">IF(L48&lt;J51,"——",L48-J53)</f>
        <v>0.39000000000000057</v>
      </c>
      <c r="O56" s="1414" t="s">
        <v>402</v>
      </c>
      <c r="P56" s="1415" t="s">
        <v>816</v>
      </c>
      <c r="Q56" s="1416">
        <f ca="1">C40+J29</f>
        <v>16086</v>
      </c>
      <c r="R56" s="1416" t="s">
        <v>817</v>
      </c>
    </row>
    <row r="57" spans="1:18" s="1380" customFormat="1" ht="24.75" thickBot="1">
      <c r="A57" s="1447"/>
      <c r="B57" s="946" t="s">
        <v>766</v>
      </c>
      <c r="C57" s="238">
        <f ca="1">C29</f>
        <v>6965</v>
      </c>
      <c r="D57" s="1448"/>
      <c r="E57" s="1449"/>
      <c r="F57" s="1450"/>
      <c r="I57" s="1451" t="s">
        <v>843</v>
      </c>
      <c r="J57" s="1452" t="str">
        <f ca="1">IF(OR(M47="住宅",J51&lt;L48,J56="是"),"——",J51-L48)</f>
        <v>——</v>
      </c>
      <c r="K57" s="1417" t="s">
        <v>844</v>
      </c>
      <c r="L57" s="1420">
        <f ca="1">IF(L48&lt;J51,"——",IF(L55="比较法",L49,IF(L55="基准地价",L50,L51)))</f>
        <v>8289</v>
      </c>
      <c r="O57" s="1414" t="s">
        <v>403</v>
      </c>
      <c r="P57" s="1415" t="s">
        <v>845</v>
      </c>
      <c r="Q57" s="1416">
        <f ca="1">L60</f>
        <v>45</v>
      </c>
      <c r="R57" s="1416" t="s">
        <v>846</v>
      </c>
    </row>
    <row r="58" spans="1:18" s="1380" customFormat="1" ht="24.75" thickBot="1">
      <c r="A58" s="315" t="s">
        <v>392</v>
      </c>
      <c r="B58" s="954" t="s">
        <v>713</v>
      </c>
      <c r="C58" s="316">
        <f ca="1">ROUND(C59+C64+C65+C66,0)</f>
        <v>172</v>
      </c>
      <c r="D58" s="956" t="s">
        <v>714</v>
      </c>
      <c r="E58" s="957"/>
      <c r="F58" s="958"/>
      <c r="I58" s="1451" t="s">
        <v>847</v>
      </c>
      <c r="J58" s="1453" t="e">
        <f ca="1">IF(J55&lt;0.4,0.4,J55)</f>
        <v>#VALUE!</v>
      </c>
      <c r="K58" s="1430" t="s">
        <v>848</v>
      </c>
      <c r="L58" s="1420">
        <f ca="1">ROUND(POWER(1+L52,L47-L48)*(POWER(1+L52,L48)-1)/(POWER(1+L52,L47)-1),4)</f>
        <v>0.85870000000000002</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132</v>
      </c>
      <c r="D59" s="959" t="s">
        <v>719</v>
      </c>
      <c r="E59" s="960" t="s">
        <v>720</v>
      </c>
      <c r="F59" s="2311" t="str">
        <f>IF(项目基本情况!B11="企业","——",IF('数据-取费表'!B10="住宅",IF(F49*F50*F51/12/(1+'数据-取费表'!F30)&gt;100000,4%,2.5%),IF(F49*F50*F51/12/(1+'数据-取费表'!F30)&gt;100000,12%,7%)))</f>
        <v>——</v>
      </c>
      <c r="I59" s="1451" t="s">
        <v>850</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0.85409999999999997</v>
      </c>
      <c r="M59" s="1376">
        <f ca="1">ROUND(POWER(1+L52,L47-(J51+'数据-取费表'!B24))*(POWER(1+L52,(J51+'数据-取费表'!B24))-1)/(POWER(1+L52,L47)-1),4)</f>
        <v>0.85409999999999997</v>
      </c>
      <c r="N59" s="1376">
        <f ca="1">ROUND(POWER(1+L52,L47-(J51+'数据-取费表'!B20))*(POWER(1+L52,(J51+'数据-取费表'!B20))-1)/(POWER(1+L52,L47)-1),4)</f>
        <v>0.87119999999999997</v>
      </c>
      <c r="O59" s="1424" t="s">
        <v>405</v>
      </c>
      <c r="P59" s="1415" t="s">
        <v>851</v>
      </c>
      <c r="Q59" s="1427">
        <f>L52</f>
        <v>0.05</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t="str">
        <f ca="1">IF(OR(M47="住宅",J51&lt;L48,J56="是"),"0",ROUND(J59/(1+J52)^J53,0))</f>
        <v>0</v>
      </c>
      <c r="K60" s="1456" t="s">
        <v>853</v>
      </c>
      <c r="L60" s="1455">
        <f ca="1">IF(OR(M47="住宅",L48&lt;J51),0,ROUND(L57*(L58/L59-1),0))</f>
        <v>45</v>
      </c>
      <c r="O60" s="1424" t="s">
        <v>406</v>
      </c>
      <c r="P60" s="1415" t="s">
        <v>854</v>
      </c>
      <c r="Q60" s="1416">
        <f ca="1">L58</f>
        <v>0.85870000000000002</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f ca="1">L59</f>
        <v>0.85409999999999997</v>
      </c>
      <c r="R61" s="1416" t="s">
        <v>856</v>
      </c>
    </row>
    <row r="62" spans="1:18" s="1380" customFormat="1" ht="13.5" thickBot="1">
      <c r="A62" s="978" t="s">
        <v>783</v>
      </c>
      <c r="B62" s="945" t="s">
        <v>784</v>
      </c>
      <c r="C62" s="22">
        <f ca="1">IF(项目基本情况!B11="自然人","——",ROUND(F62*F63/10000,2))</f>
        <v>132.46</v>
      </c>
      <c r="D62" s="961" t="s">
        <v>785</v>
      </c>
      <c r="E62" s="946" t="s">
        <v>786</v>
      </c>
      <c r="F62" s="325">
        <f t="shared" si="0"/>
        <v>18</v>
      </c>
      <c r="I62" s="1458" t="s">
        <v>857</v>
      </c>
      <c r="J62" s="1459" t="s">
        <v>858</v>
      </c>
      <c r="K62" s="1459" t="s">
        <v>859</v>
      </c>
      <c r="L62" s="1459" t="s">
        <v>860</v>
      </c>
      <c r="M62" s="1460" t="s">
        <v>861</v>
      </c>
      <c r="O62" s="1414" t="s">
        <v>408</v>
      </c>
      <c r="P62" s="1415" t="s">
        <v>862</v>
      </c>
      <c r="Q62" s="1416">
        <f ca="1">Q56+Q57</f>
        <v>16131</v>
      </c>
      <c r="R62" s="1416" t="s">
        <v>409</v>
      </c>
    </row>
    <row r="63" spans="1:18" s="1380" customFormat="1" ht="13.5" thickBot="1">
      <c r="A63" s="326"/>
      <c r="B63" s="952"/>
      <c r="C63" s="26"/>
      <c r="D63" s="962"/>
      <c r="E63" s="946" t="s">
        <v>787</v>
      </c>
      <c r="F63" s="303">
        <f t="shared" ca="1" si="0"/>
        <v>73586.240000000005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34.83</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4.8099999999999996</v>
      </c>
      <c r="D65" s="960" t="s">
        <v>742</v>
      </c>
      <c r="E65" s="946" t="s">
        <v>743</v>
      </c>
      <c r="F65" s="330">
        <f t="shared" ca="1" si="0"/>
        <v>1E-3</v>
      </c>
      <c r="I65" s="1458" t="s">
        <v>866</v>
      </c>
      <c r="J65" s="1459">
        <v>40</v>
      </c>
      <c r="K65" s="1459">
        <v>30</v>
      </c>
      <c r="L65" s="1459">
        <v>50</v>
      </c>
      <c r="M65" s="1461">
        <v>0.02</v>
      </c>
      <c r="O65" s="1414" t="s">
        <v>402</v>
      </c>
      <c r="P65" s="1415" t="s">
        <v>867</v>
      </c>
      <c r="Q65" s="1416">
        <f ca="1">C40+J29</f>
        <v>16086</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45</v>
      </c>
      <c r="R66" s="1416" t="s">
        <v>868</v>
      </c>
    </row>
    <row r="67" spans="1:18" s="1380" customFormat="1" ht="16.5" thickBot="1">
      <c r="A67" s="953" t="s">
        <v>393</v>
      </c>
      <c r="B67" s="963" t="s">
        <v>751</v>
      </c>
      <c r="C67" s="316">
        <f ca="1">C48-C58</f>
        <v>-172</v>
      </c>
      <c r="D67" s="959" t="s">
        <v>752</v>
      </c>
      <c r="E67" s="964"/>
      <c r="F67" s="965"/>
      <c r="O67" s="1424" t="s">
        <v>404</v>
      </c>
      <c r="P67" s="1415" t="s">
        <v>849</v>
      </c>
      <c r="Q67" s="1462">
        <f ca="1">L51</f>
        <v>8289</v>
      </c>
      <c r="R67" s="1416" t="s">
        <v>869</v>
      </c>
    </row>
    <row r="68" spans="1:18" s="1380" customFormat="1" ht="16.5" thickBot="1">
      <c r="A68" s="943" t="s">
        <v>394</v>
      </c>
      <c r="B68" s="944" t="s">
        <v>773</v>
      </c>
      <c r="C68" s="301">
        <f ca="1">ROUND(C67*(1-((1+F70)/(1+F68))^F69)/(F68-F70),0)</f>
        <v>-2533</v>
      </c>
      <c r="D68" s="961" t="s">
        <v>757</v>
      </c>
      <c r="E68" s="946" t="s">
        <v>758</v>
      </c>
      <c r="F68" s="312">
        <f ca="1">F40</f>
        <v>5.5E-2</v>
      </c>
      <c r="O68" s="1424" t="s">
        <v>405</v>
      </c>
      <c r="P68" s="1463" t="s">
        <v>870</v>
      </c>
      <c r="Q68" s="1416">
        <f ca="1">ROUND(Q69-Q70*Q71,0)</f>
        <v>532</v>
      </c>
      <c r="R68" s="1416" t="s">
        <v>413</v>
      </c>
    </row>
    <row r="69" spans="1:18" s="1380" customFormat="1" ht="13.5" thickBot="1">
      <c r="A69" s="947"/>
      <c r="B69" s="948"/>
      <c r="C69" s="306"/>
      <c r="D69" s="966" t="s">
        <v>761</v>
      </c>
      <c r="E69" s="946" t="s">
        <v>762</v>
      </c>
      <c r="F69" s="333">
        <f ca="1">F41</f>
        <v>31</v>
      </c>
      <c r="O69" s="1424" t="s">
        <v>410</v>
      </c>
      <c r="P69" s="1463" t="s">
        <v>871</v>
      </c>
      <c r="Q69" s="1416">
        <f ca="1">C39</f>
        <v>868</v>
      </c>
      <c r="R69" s="1416" t="s">
        <v>817</v>
      </c>
    </row>
    <row r="70" spans="1:18" s="1380" customFormat="1" ht="13.5" thickBot="1">
      <c r="A70" s="950"/>
      <c r="B70" s="951"/>
      <c r="C70" s="310"/>
      <c r="D70" s="962"/>
      <c r="E70" s="946" t="s">
        <v>765</v>
      </c>
      <c r="F70" s="1050"/>
      <c r="O70" s="1424" t="s">
        <v>411</v>
      </c>
      <c r="P70" s="1463" t="s">
        <v>872</v>
      </c>
      <c r="Q70" s="1416">
        <f ca="1">C13</f>
        <v>4806</v>
      </c>
      <c r="R70" s="1416" t="s">
        <v>817</v>
      </c>
    </row>
    <row r="71" spans="1:18" s="1380" customFormat="1" ht="13.5" thickBot="1">
      <c r="A71" s="967" t="s">
        <v>395</v>
      </c>
      <c r="B71" s="968" t="s">
        <v>775</v>
      </c>
      <c r="C71" s="336">
        <f ca="1">ROUND(C68*10000/F71,0)</f>
        <v>-1252</v>
      </c>
      <c r="D71" s="969" t="s">
        <v>776</v>
      </c>
      <c r="E71" s="970" t="s">
        <v>777</v>
      </c>
      <c r="F71" s="339">
        <f ca="1">F43</f>
        <v>20228.239999999998</v>
      </c>
      <c r="O71" s="1424" t="s">
        <v>412</v>
      </c>
      <c r="P71" s="1463" t="s">
        <v>873</v>
      </c>
      <c r="Q71" s="1427">
        <f ca="1">C76</f>
        <v>7.0000000000000007E-2</v>
      </c>
      <c r="R71" s="1416"/>
    </row>
    <row r="72" spans="1:18" s="1380" customFormat="1" ht="13.5" thickBot="1">
      <c r="B72" s="725"/>
      <c r="C72" s="725"/>
      <c r="O72" s="1424" t="s">
        <v>406</v>
      </c>
      <c r="P72" s="1415" t="s">
        <v>851</v>
      </c>
      <c r="Q72" s="1427">
        <f>L52</f>
        <v>0.05</v>
      </c>
      <c r="R72" s="1416"/>
    </row>
    <row r="73" spans="1:18" ht="16.5" thickBot="1">
      <c r="A73" s="1380"/>
      <c r="B73" s="725"/>
      <c r="C73" s="725"/>
      <c r="D73" s="1380"/>
      <c r="E73" s="1380"/>
      <c r="F73" s="1380"/>
      <c r="O73" s="1424" t="s">
        <v>407</v>
      </c>
      <c r="P73" s="1415" t="s">
        <v>854</v>
      </c>
      <c r="Q73" s="1416">
        <f ca="1">L58</f>
        <v>0.85870000000000002</v>
      </c>
      <c r="R73" s="1416" t="s">
        <v>855</v>
      </c>
    </row>
    <row r="74" spans="1:18" ht="13.5" thickBot="1">
      <c r="A74" s="1380"/>
      <c r="B74" s="273" t="s">
        <v>874</v>
      </c>
      <c r="C74" s="1465"/>
      <c r="D74" s="1380"/>
      <c r="E74" s="1380"/>
      <c r="F74" s="1380"/>
      <c r="O74" s="1424" t="s">
        <v>414</v>
      </c>
      <c r="P74" s="1415" t="str">
        <f>K59</f>
        <v>建筑物剩余耐用年限下的土地年期修正系数Kn</v>
      </c>
      <c r="Q74" s="1416">
        <f ca="1">L59</f>
        <v>0.85409999999999997</v>
      </c>
      <c r="R74" s="1416" t="s">
        <v>856</v>
      </c>
    </row>
    <row r="75" spans="1:18" ht="13.5" thickBot="1">
      <c r="A75" s="1380"/>
      <c r="B75" s="340" t="s">
        <v>794</v>
      </c>
      <c r="C75" s="341">
        <f ca="1">ROUND(C13*C76,0)</f>
        <v>336</v>
      </c>
      <c r="D75" s="1380"/>
      <c r="E75" s="1380"/>
      <c r="F75" s="1380"/>
      <c r="K75" s="1398"/>
      <c r="L75" s="1380"/>
      <c r="O75" s="1414" t="s">
        <v>408</v>
      </c>
      <c r="P75" s="1415" t="s">
        <v>837</v>
      </c>
      <c r="Q75" s="1416">
        <f ca="1">Q65+Q66</f>
        <v>16131</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0.61299999999999999</v>
      </c>
    </row>
    <row r="80" spans="1:18">
      <c r="B80" s="340" t="s">
        <v>799</v>
      </c>
      <c r="C80" s="274">
        <f ca="1">ROUND(C75/C39,3)</f>
        <v>0.38700000000000001</v>
      </c>
    </row>
    <row r="81" spans="2:3">
      <c r="B81" s="270" t="s">
        <v>800</v>
      </c>
      <c r="C81" s="238"/>
    </row>
    <row r="82" spans="2:3">
      <c r="B82" s="273" t="s">
        <v>801</v>
      </c>
      <c r="C82" s="275">
        <f ca="1">1-C83</f>
        <v>0.70100000000000007</v>
      </c>
    </row>
    <row r="83" spans="2:3">
      <c r="B83" s="273" t="s">
        <v>802</v>
      </c>
      <c r="C83" s="274">
        <f ca="1">ROUND(C13/C40,3)</f>
        <v>0.29899999999999999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1072"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2112</v>
      </c>
      <c r="E10" s="313" t="s">
        <v>700</v>
      </c>
      <c r="F10" s="1112" t="s">
        <v>3498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1077" t="s">
        <v>704</v>
      </c>
      <c r="E13" s="1077"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1341" t="s">
        <v>707</v>
      </c>
      <c r="E14" s="1338"/>
      <c r="F14" s="319"/>
      <c r="G14" s="1380"/>
      <c r="H14" s="978" t="s">
        <v>397</v>
      </c>
      <c r="I14" s="302" t="s">
        <v>708</v>
      </c>
      <c r="J14" s="21" t="e">
        <f ca="1">C29</f>
        <v>#N/A</v>
      </c>
      <c r="K14" s="12"/>
      <c r="L14" s="803"/>
      <c r="M14" s="804"/>
    </row>
    <row r="15" spans="1:37" s="1393" customFormat="1" ht="18" customHeight="1" thickBot="1">
      <c r="A15" s="978" t="s">
        <v>398</v>
      </c>
      <c r="B15" s="302" t="s">
        <v>709</v>
      </c>
      <c r="C15" s="21" t="e">
        <f ca="1">ROUND(C14*F15,0)</f>
        <v>#N/A</v>
      </c>
      <c r="D15" s="320" t="s">
        <v>710</v>
      </c>
      <c r="E15" s="320"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108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1356"/>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323"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t="e">
        <f ca="1">ROUND(J14*M22,2)</f>
        <v>#N/A</v>
      </c>
      <c r="K22" s="1340"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1340"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t="e">
        <f ca="1">J5-J16</f>
        <v>#N/A</v>
      </c>
      <c r="K25" s="1091" t="s">
        <v>752</v>
      </c>
      <c r="L25" s="1092"/>
      <c r="M25" s="1093"/>
    </row>
    <row r="26" spans="1:37">
      <c r="A26" s="978" t="s">
        <v>396</v>
      </c>
      <c r="B26" s="302" t="s">
        <v>753</v>
      </c>
      <c r="C26" s="21" t="e">
        <f ca="1">ROUND((C19+C20)*F26,0)</f>
        <v>#N/A</v>
      </c>
      <c r="D26" s="323"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323" t="s">
        <v>760</v>
      </c>
      <c r="E27" s="320"/>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108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1340"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1340"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t="e">
        <f ca="1">C39/C6</f>
        <v>#N/A</v>
      </c>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1355"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2105</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IF(项目基本情况!B11="自然人","——",IF(D61="按租金收入计税",ROUND(C49*F61/(1+'数据-取费表'!C42),2),IF(D61="按房产原值计税",ROUND(C57*F61*0.7,2),INDIRECT("'数据-取费表'!Aj"&amp;$G$1))))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IF(项目基本情况!B11="自然人","——",ROUND(F62*F63/10000,2))</f>
        <v>#N/A</v>
      </c>
      <c r="D62" s="961" t="s">
        <v>785</v>
      </c>
      <c r="E62" s="946" t="s">
        <v>786</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ROUND(C57*F64,2)</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0</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16" t="s">
        <v>1768</v>
      </c>
      <c r="S4" s="3717"/>
      <c r="T4" s="3716" t="s">
        <v>1769</v>
      </c>
      <c r="U4" s="3717"/>
      <c r="V4" s="3713" t="s">
        <v>1770</v>
      </c>
      <c r="W4" s="3713"/>
      <c r="X4" s="1351"/>
      <c r="Y4" s="3716" t="s">
        <v>1772</v>
      </c>
      <c r="Z4" s="3717"/>
      <c r="AA4" s="3710" t="s">
        <v>1768</v>
      </c>
      <c r="AB4" s="3713" t="s">
        <v>1769</v>
      </c>
      <c r="AC4" s="3710" t="s">
        <v>1770</v>
      </c>
    </row>
    <row r="5" spans="1:29" ht="15">
      <c r="A5" s="358"/>
      <c r="B5" s="359"/>
      <c r="C5" s="3722" t="s">
        <v>1670</v>
      </c>
      <c r="D5" s="3723"/>
      <c r="E5" s="3720" t="s">
        <v>1671</v>
      </c>
      <c r="F5" s="3721"/>
      <c r="G5" s="3722" t="s">
        <v>1672</v>
      </c>
      <c r="H5" s="3723"/>
      <c r="I5" s="3722" t="s">
        <v>1673</v>
      </c>
      <c r="J5" s="3723"/>
      <c r="K5" s="559"/>
      <c r="L5" s="2711"/>
      <c r="M5" s="2712"/>
      <c r="N5" s="2712"/>
      <c r="O5" s="2712"/>
      <c r="P5" s="3735"/>
      <c r="Q5" s="3736"/>
      <c r="R5" s="3718"/>
      <c r="S5" s="3719"/>
      <c r="T5" s="3718"/>
      <c r="U5" s="3719"/>
      <c r="V5" s="3713"/>
      <c r="W5" s="3713"/>
      <c r="X5" s="1351"/>
      <c r="Y5" s="3718"/>
      <c r="Z5" s="3719"/>
      <c r="AA5" s="3711"/>
      <c r="AB5" s="3713"/>
      <c r="AC5" s="3711"/>
    </row>
    <row r="6" spans="1:29" ht="15.75" thickBot="1">
      <c r="A6" s="360"/>
      <c r="B6" s="361"/>
      <c r="C6" s="3724" t="s">
        <v>1674</v>
      </c>
      <c r="D6" s="3725"/>
      <c r="E6" s="3726" t="s">
        <v>1674</v>
      </c>
      <c r="F6" s="3727"/>
      <c r="G6" s="3724" t="s">
        <v>1674</v>
      </c>
      <c r="H6" s="3725"/>
      <c r="I6" s="3724" t="s">
        <v>1674</v>
      </c>
      <c r="J6" s="3725"/>
      <c r="K6" s="559" t="s">
        <v>1675</v>
      </c>
      <c r="L6" s="2711"/>
      <c r="M6" s="2712"/>
      <c r="N6" s="2712"/>
      <c r="O6" s="2712"/>
      <c r="P6" s="3737"/>
      <c r="Q6" s="3738"/>
      <c r="R6" s="3718"/>
      <c r="S6" s="3719"/>
      <c r="T6" s="3739"/>
      <c r="U6" s="3740"/>
      <c r="V6" s="3713"/>
      <c r="W6" s="3713"/>
      <c r="X6" s="1351"/>
      <c r="Y6" s="3739"/>
      <c r="Z6" s="3740"/>
      <c r="AA6" s="3712"/>
      <c r="AB6" s="3713"/>
      <c r="AC6" s="3712"/>
    </row>
    <row r="7" spans="1:29" s="108" customFormat="1" ht="15.75" thickBot="1">
      <c r="A7" s="362" t="s">
        <v>1676</v>
      </c>
      <c r="B7" s="363"/>
      <c r="C7" s="364">
        <f>'数据-取费表'!B2</f>
        <v>45467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4" t="s">
        <v>1677</v>
      </c>
      <c r="Q7" s="3741"/>
      <c r="R7" s="700" t="s">
        <v>14</v>
      </c>
      <c r="S7" s="701">
        <f t="shared" ref="S7:S15" si="0">F7</f>
        <v>100</v>
      </c>
      <c r="T7" s="700" t="s">
        <v>14</v>
      </c>
      <c r="U7" s="701">
        <f t="shared" ref="U7:U15" si="1">H7</f>
        <v>100</v>
      </c>
      <c r="V7" s="700" t="s">
        <v>14</v>
      </c>
      <c r="W7" s="701">
        <f t="shared" ref="W7:W15" si="2">J7</f>
        <v>100</v>
      </c>
      <c r="X7" s="702"/>
      <c r="Y7" s="3714" t="s">
        <v>1677</v>
      </c>
      <c r="Z7" s="3715"/>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4" t="s">
        <v>1680</v>
      </c>
      <c r="Q8" s="3715"/>
      <c r="R8" s="700" t="s">
        <v>14</v>
      </c>
      <c r="S8" s="701">
        <f t="shared" si="0"/>
        <v>100</v>
      </c>
      <c r="T8" s="700" t="s">
        <v>14</v>
      </c>
      <c r="U8" s="701">
        <f t="shared" si="1"/>
        <v>100</v>
      </c>
      <c r="V8" s="700" t="s">
        <v>14</v>
      </c>
      <c r="W8" s="701">
        <f t="shared" si="2"/>
        <v>100</v>
      </c>
      <c r="X8" s="702"/>
      <c r="Y8" s="3714" t="s">
        <v>1680</v>
      </c>
      <c r="Z8" s="3715"/>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8"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8"/>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8"/>
      <c r="Q11" s="1339" t="str">
        <f t="shared" si="6"/>
        <v>容积率</v>
      </c>
      <c r="R11" s="700" t="s">
        <v>14</v>
      </c>
      <c r="S11" s="701">
        <f t="shared" si="0"/>
        <v>100</v>
      </c>
      <c r="T11" s="700" t="s">
        <v>14</v>
      </c>
      <c r="U11" s="701">
        <f t="shared" si="1"/>
        <v>100</v>
      </c>
      <c r="V11" s="700" t="s">
        <v>14</v>
      </c>
      <c r="W11" s="701">
        <f t="shared" si="2"/>
        <v>100</v>
      </c>
      <c r="X11" s="702"/>
      <c r="Y11" s="3676"/>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8"/>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8"/>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8"/>
      <c r="Q14" s="1339">
        <f t="shared" si="6"/>
        <v>111</v>
      </c>
      <c r="R14" s="700" t="s">
        <v>14</v>
      </c>
      <c r="S14" s="701">
        <f t="shared" si="0"/>
        <v>100</v>
      </c>
      <c r="T14" s="700" t="s">
        <v>14</v>
      </c>
      <c r="U14" s="701">
        <f t="shared" si="1"/>
        <v>100</v>
      </c>
      <c r="V14" s="700" t="s">
        <v>14</v>
      </c>
      <c r="W14" s="701">
        <f t="shared" si="2"/>
        <v>100</v>
      </c>
      <c r="X14" s="702"/>
      <c r="Y14" s="3676"/>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2" t="s">
        <v>1688</v>
      </c>
      <c r="Q15" s="1348" t="str">
        <f t="shared" si="6"/>
        <v>商业繁华度</v>
      </c>
      <c r="R15" s="704" t="s">
        <v>14</v>
      </c>
      <c r="S15" s="705">
        <f t="shared" si="0"/>
        <v>100</v>
      </c>
      <c r="T15" s="704" t="s">
        <v>14</v>
      </c>
      <c r="U15" s="705">
        <f t="shared" si="1"/>
        <v>100</v>
      </c>
      <c r="V15" s="704" t="s">
        <v>14</v>
      </c>
      <c r="W15" s="705">
        <f t="shared" si="2"/>
        <v>100</v>
      </c>
      <c r="X15" s="1351"/>
      <c r="Y15" s="3744"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3"/>
      <c r="Q16" s="1348"/>
      <c r="R16" s="704"/>
      <c r="S16" s="705"/>
      <c r="T16" s="704"/>
      <c r="U16" s="705"/>
      <c r="V16" s="704"/>
      <c r="W16" s="705"/>
      <c r="X16" s="1351"/>
      <c r="Y16" s="3745"/>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3"/>
      <c r="Q17" s="1348" t="str">
        <f>B17</f>
        <v>交通便捷度</v>
      </c>
      <c r="R17" s="704" t="s">
        <v>14</v>
      </c>
      <c r="S17" s="705">
        <f>F17</f>
        <v>100</v>
      </c>
      <c r="T17" s="704" t="s">
        <v>14</v>
      </c>
      <c r="U17" s="705">
        <f>H17</f>
        <v>100</v>
      </c>
      <c r="V17" s="704" t="s">
        <v>14</v>
      </c>
      <c r="W17" s="705">
        <f>J17</f>
        <v>100</v>
      </c>
      <c r="X17" s="1351"/>
      <c r="Y17" s="3745"/>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3"/>
      <c r="Q18" s="1348"/>
      <c r="R18" s="704"/>
      <c r="S18" s="705"/>
      <c r="T18" s="704"/>
      <c r="U18" s="705"/>
      <c r="V18" s="704"/>
      <c r="W18" s="705"/>
      <c r="X18" s="1351"/>
      <c r="Y18" s="3745"/>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3"/>
      <c r="Q19" s="1348" t="str">
        <f>B19</f>
        <v>公共配套设施</v>
      </c>
      <c r="R19" s="704" t="s">
        <v>14</v>
      </c>
      <c r="S19" s="705">
        <f>F19</f>
        <v>100</v>
      </c>
      <c r="T19" s="704" t="s">
        <v>14</v>
      </c>
      <c r="U19" s="705">
        <f>H19</f>
        <v>100</v>
      </c>
      <c r="V19" s="704" t="s">
        <v>14</v>
      </c>
      <c r="W19" s="705">
        <f>J19</f>
        <v>100</v>
      </c>
      <c r="X19" s="1351"/>
      <c r="Y19" s="3745"/>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3"/>
      <c r="Q20" s="1348"/>
      <c r="R20" s="704"/>
      <c r="S20" s="705"/>
      <c r="T20" s="704"/>
      <c r="U20" s="705"/>
      <c r="V20" s="704"/>
      <c r="W20" s="705"/>
      <c r="X20" s="1351"/>
      <c r="Y20" s="3745"/>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3"/>
      <c r="Q21" s="1348" t="str">
        <f>B21</f>
        <v>基础设施水平</v>
      </c>
      <c r="R21" s="704" t="s">
        <v>14</v>
      </c>
      <c r="S21" s="705">
        <f>F21</f>
        <v>100</v>
      </c>
      <c r="T21" s="704" t="s">
        <v>14</v>
      </c>
      <c r="U21" s="705">
        <f>H21</f>
        <v>100</v>
      </c>
      <c r="V21" s="704" t="s">
        <v>14</v>
      </c>
      <c r="W21" s="705">
        <f>J21</f>
        <v>100</v>
      </c>
      <c r="X21" s="1351"/>
      <c r="Y21" s="3745"/>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3"/>
      <c r="Q22" s="1348"/>
      <c r="R22" s="704"/>
      <c r="S22" s="705"/>
      <c r="T22" s="704"/>
      <c r="U22" s="705"/>
      <c r="V22" s="704"/>
      <c r="W22" s="705"/>
      <c r="X22" s="1351"/>
      <c r="Y22" s="3745"/>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3"/>
      <c r="Q23" s="1348" t="str">
        <f>B23</f>
        <v>自然及人文环境</v>
      </c>
      <c r="R23" s="704" t="s">
        <v>14</v>
      </c>
      <c r="S23" s="705">
        <f>F23</f>
        <v>100</v>
      </c>
      <c r="T23" s="704" t="s">
        <v>14</v>
      </c>
      <c r="U23" s="705">
        <f>H23</f>
        <v>100</v>
      </c>
      <c r="V23" s="704" t="s">
        <v>14</v>
      </c>
      <c r="W23" s="705">
        <f>J23</f>
        <v>100</v>
      </c>
      <c r="X23" s="1351"/>
      <c r="Y23" s="3745"/>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3"/>
      <c r="Q24" s="1348"/>
      <c r="R24" s="704"/>
      <c r="S24" s="705"/>
      <c r="T24" s="704"/>
      <c r="U24" s="705"/>
      <c r="V24" s="704"/>
      <c r="W24" s="705"/>
      <c r="X24" s="1351"/>
      <c r="Y24" s="3745"/>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3"/>
      <c r="Q25" s="1348" t="str">
        <f t="shared" ref="Q25:Q46" si="11">B25</f>
        <v>临街状况</v>
      </c>
      <c r="R25" s="704" t="s">
        <v>14</v>
      </c>
      <c r="S25" s="705">
        <f>F25</f>
        <v>100</v>
      </c>
      <c r="T25" s="704" t="s">
        <v>14</v>
      </c>
      <c r="U25" s="705">
        <f>H25</f>
        <v>100</v>
      </c>
      <c r="V25" s="704" t="s">
        <v>14</v>
      </c>
      <c r="W25" s="705">
        <f>J25</f>
        <v>100</v>
      </c>
      <c r="X25" s="1351"/>
      <c r="Y25" s="3745"/>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3"/>
      <c r="Q26" s="1348" t="str">
        <f t="shared" si="11"/>
        <v>平面位置/可视性</v>
      </c>
      <c r="R26" s="704" t="s">
        <v>14</v>
      </c>
      <c r="S26" s="705">
        <f>F26</f>
        <v>100</v>
      </c>
      <c r="T26" s="704" t="s">
        <v>14</v>
      </c>
      <c r="U26" s="705">
        <f>H26</f>
        <v>100</v>
      </c>
      <c r="V26" s="704" t="s">
        <v>14</v>
      </c>
      <c r="W26" s="705">
        <f>J26</f>
        <v>100</v>
      </c>
      <c r="X26" s="1351"/>
      <c r="Y26" s="3745"/>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3"/>
      <c r="Q27" s="1339" t="str">
        <f t="shared" si="11"/>
        <v>人流量</v>
      </c>
      <c r="R27" s="700" t="s">
        <v>14</v>
      </c>
      <c r="S27" s="701">
        <f>F27</f>
        <v>100</v>
      </c>
      <c r="T27" s="700" t="s">
        <v>14</v>
      </c>
      <c r="U27" s="701">
        <f>H27</f>
        <v>100</v>
      </c>
      <c r="V27" s="700" t="s">
        <v>14</v>
      </c>
      <c r="W27" s="701">
        <f>J27</f>
        <v>100</v>
      </c>
      <c r="X27" s="702"/>
      <c r="Y27" s="3745"/>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3"/>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5"/>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3"/>
      <c r="Q29" s="1348">
        <f t="shared" si="11"/>
        <v>111</v>
      </c>
      <c r="R29" s="704" t="s">
        <v>14</v>
      </c>
      <c r="S29" s="705">
        <f t="shared" si="12"/>
        <v>100</v>
      </c>
      <c r="T29" s="704" t="s">
        <v>14</v>
      </c>
      <c r="U29" s="705">
        <f t="shared" si="13"/>
        <v>100</v>
      </c>
      <c r="V29" s="704" t="s">
        <v>14</v>
      </c>
      <c r="W29" s="705">
        <f t="shared" si="14"/>
        <v>100</v>
      </c>
      <c r="X29" s="1351"/>
      <c r="Y29" s="3745"/>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3"/>
      <c r="Q30" s="1348">
        <f t="shared" si="11"/>
        <v>111</v>
      </c>
      <c r="R30" s="704" t="s">
        <v>14</v>
      </c>
      <c r="S30" s="705">
        <f t="shared" si="12"/>
        <v>100</v>
      </c>
      <c r="T30" s="704" t="s">
        <v>14</v>
      </c>
      <c r="U30" s="705">
        <f t="shared" si="13"/>
        <v>100</v>
      </c>
      <c r="V30" s="704" t="s">
        <v>14</v>
      </c>
      <c r="W30" s="705">
        <f t="shared" si="14"/>
        <v>100</v>
      </c>
      <c r="X30" s="1351"/>
      <c r="Y30" s="3745"/>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3"/>
      <c r="Q31" s="1348">
        <f t="shared" si="11"/>
        <v>111</v>
      </c>
      <c r="R31" s="704" t="s">
        <v>14</v>
      </c>
      <c r="S31" s="705">
        <f t="shared" si="12"/>
        <v>100</v>
      </c>
      <c r="T31" s="704" t="s">
        <v>14</v>
      </c>
      <c r="U31" s="705">
        <f t="shared" si="13"/>
        <v>100</v>
      </c>
      <c r="V31" s="704" t="s">
        <v>14</v>
      </c>
      <c r="W31" s="705">
        <f t="shared" si="14"/>
        <v>100</v>
      </c>
      <c r="X31" s="1351"/>
      <c r="Y31" s="3745"/>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6" t="s">
        <v>1693</v>
      </c>
      <c r="Q32" s="1348" t="str">
        <f t="shared" si="11"/>
        <v>商业类型</v>
      </c>
      <c r="R32" s="704" t="s">
        <v>14</v>
      </c>
      <c r="S32" s="705">
        <f t="shared" si="12"/>
        <v>100</v>
      </c>
      <c r="T32" s="704" t="s">
        <v>14</v>
      </c>
      <c r="U32" s="705">
        <f t="shared" si="13"/>
        <v>100</v>
      </c>
      <c r="V32" s="704" t="s">
        <v>14</v>
      </c>
      <c r="W32" s="705">
        <f t="shared" si="14"/>
        <v>100</v>
      </c>
      <c r="X32" s="1351"/>
      <c r="Y32" s="3749"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20228.239999999998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7"/>
      <c r="Q33" s="706" t="str">
        <f t="shared" si="11"/>
        <v>项目建筑规模</v>
      </c>
      <c r="R33" s="707" t="s">
        <v>14</v>
      </c>
      <c r="S33" s="708">
        <f t="shared" si="12"/>
        <v>103</v>
      </c>
      <c r="T33" s="707" t="s">
        <v>14</v>
      </c>
      <c r="U33" s="708">
        <f t="shared" si="13"/>
        <v>103</v>
      </c>
      <c r="V33" s="707" t="s">
        <v>14</v>
      </c>
      <c r="W33" s="708">
        <f t="shared" si="14"/>
        <v>104</v>
      </c>
      <c r="X33" s="709"/>
      <c r="Y33" s="3749"/>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7"/>
      <c r="Q34" s="1348" t="str">
        <f t="shared" si="11"/>
        <v>建筑结构</v>
      </c>
      <c r="R34" s="704" t="s">
        <v>14</v>
      </c>
      <c r="S34" s="705">
        <f t="shared" si="12"/>
        <v>100</v>
      </c>
      <c r="T34" s="704" t="s">
        <v>14</v>
      </c>
      <c r="U34" s="705">
        <f t="shared" si="13"/>
        <v>100</v>
      </c>
      <c r="V34" s="704" t="s">
        <v>14</v>
      </c>
      <c r="W34" s="705">
        <f t="shared" si="14"/>
        <v>100</v>
      </c>
      <c r="X34" s="1351"/>
      <c r="Y34" s="3749"/>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7"/>
      <c r="Q35" s="1348" t="str">
        <f t="shared" si="11"/>
        <v>公共部分装修</v>
      </c>
      <c r="R35" s="704" t="s">
        <v>14</v>
      </c>
      <c r="S35" s="705">
        <f t="shared" si="12"/>
        <v>100</v>
      </c>
      <c r="T35" s="704" t="s">
        <v>14</v>
      </c>
      <c r="U35" s="705">
        <f t="shared" si="13"/>
        <v>100</v>
      </c>
      <c r="V35" s="704" t="s">
        <v>14</v>
      </c>
      <c r="W35" s="705">
        <f t="shared" si="14"/>
        <v>100</v>
      </c>
      <c r="X35" s="1351"/>
      <c r="Y35" s="3749"/>
      <c r="Z35" s="1352" t="str">
        <f t="shared" si="15"/>
        <v>公共部分装修</v>
      </c>
      <c r="AA35" s="1349">
        <f t="shared" si="3"/>
        <v>1</v>
      </c>
      <c r="AB35" s="1349">
        <f t="shared" si="4"/>
        <v>1</v>
      </c>
      <c r="AC35" s="1349">
        <f t="shared" si="5"/>
        <v>1</v>
      </c>
    </row>
    <row r="36" spans="1:29" ht="15">
      <c r="A36" s="423"/>
      <c r="B36" s="375" t="s">
        <v>1783</v>
      </c>
      <c r="C36" s="425">
        <f>'数据-取费表'!N6</f>
        <v>0.69</v>
      </c>
      <c r="D36" s="386">
        <v>100</v>
      </c>
      <c r="E36" s="425">
        <f>C36</f>
        <v>0.69</v>
      </c>
      <c r="F36" s="412">
        <f>LOOKUP(E36,110:110,111:111)-LOOKUP(C36,110:110,111:111)+100</f>
        <v>100</v>
      </c>
      <c r="G36" s="425">
        <f>E36</f>
        <v>0.69</v>
      </c>
      <c r="H36" s="412">
        <f>LOOKUP(G36,110:110,111:111)-LOOKUP(C36,110:110,111:111)+100</f>
        <v>100</v>
      </c>
      <c r="I36" s="425">
        <f>G36</f>
        <v>0.69</v>
      </c>
      <c r="J36" s="386">
        <f>LOOKUP(I36,110:110,111:111)-LOOKUP(C36,110:110,111:111)+100</f>
        <v>100</v>
      </c>
      <c r="K36" s="561">
        <v>1</v>
      </c>
      <c r="L36" s="2718"/>
      <c r="M36" s="2712"/>
      <c r="N36" s="2712"/>
      <c r="O36" s="2712"/>
      <c r="P36" s="3747"/>
      <c r="Q36" s="1348" t="str">
        <f t="shared" si="11"/>
        <v>成新度</v>
      </c>
      <c r="R36" s="704" t="s">
        <v>14</v>
      </c>
      <c r="S36" s="705">
        <f t="shared" si="12"/>
        <v>100</v>
      </c>
      <c r="T36" s="704" t="s">
        <v>14</v>
      </c>
      <c r="U36" s="705">
        <f t="shared" si="13"/>
        <v>100</v>
      </c>
      <c r="V36" s="704" t="s">
        <v>14</v>
      </c>
      <c r="W36" s="705">
        <f t="shared" si="14"/>
        <v>100</v>
      </c>
      <c r="X36" s="1351"/>
      <c r="Y36" s="3749"/>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7"/>
      <c r="Q37" s="1339" t="str">
        <f t="shared" si="11"/>
        <v>市政基础设施</v>
      </c>
      <c r="R37" s="700" t="s">
        <v>14</v>
      </c>
      <c r="S37" s="701">
        <f t="shared" si="12"/>
        <v>100</v>
      </c>
      <c r="T37" s="700" t="s">
        <v>14</v>
      </c>
      <c r="U37" s="701">
        <f t="shared" si="13"/>
        <v>100</v>
      </c>
      <c r="V37" s="700" t="s">
        <v>14</v>
      </c>
      <c r="W37" s="701">
        <f t="shared" si="14"/>
        <v>100</v>
      </c>
      <c r="X37" s="702"/>
      <c r="Y37" s="3749"/>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7" t="s">
        <v>1693</v>
      </c>
      <c r="Q38" s="1348" t="str">
        <f t="shared" si="11"/>
        <v>业态</v>
      </c>
      <c r="R38" s="704" t="s">
        <v>14</v>
      </c>
      <c r="S38" s="705">
        <f t="shared" si="12"/>
        <v>105</v>
      </c>
      <c r="T38" s="704" t="s">
        <v>14</v>
      </c>
      <c r="U38" s="705">
        <f t="shared" si="13"/>
        <v>100</v>
      </c>
      <c r="V38" s="704" t="s">
        <v>14</v>
      </c>
      <c r="W38" s="705">
        <f t="shared" si="14"/>
        <v>105</v>
      </c>
      <c r="X38" s="1351"/>
      <c r="Y38" s="3749"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7"/>
      <c r="Q39" s="1348" t="str">
        <f t="shared" si="11"/>
        <v>层高</v>
      </c>
      <c r="R39" s="704" t="s">
        <v>14</v>
      </c>
      <c r="S39" s="705">
        <f t="shared" si="12"/>
        <v>100</v>
      </c>
      <c r="T39" s="704" t="s">
        <v>14</v>
      </c>
      <c r="U39" s="705">
        <f t="shared" si="13"/>
        <v>100</v>
      </c>
      <c r="V39" s="704" t="s">
        <v>14</v>
      </c>
      <c r="W39" s="705">
        <f t="shared" si="14"/>
        <v>100</v>
      </c>
      <c r="X39" s="1351"/>
      <c r="Y39" s="3749"/>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7"/>
      <c r="Q40" s="1348" t="str">
        <f t="shared" si="11"/>
        <v>单套建筑面积</v>
      </c>
      <c r="R40" s="704" t="s">
        <v>14</v>
      </c>
      <c r="S40" s="705">
        <f t="shared" si="12"/>
        <v>100</v>
      </c>
      <c r="T40" s="704" t="s">
        <v>14</v>
      </c>
      <c r="U40" s="705">
        <f t="shared" si="13"/>
        <v>100</v>
      </c>
      <c r="V40" s="704" t="s">
        <v>14</v>
      </c>
      <c r="W40" s="705">
        <f t="shared" si="14"/>
        <v>100</v>
      </c>
      <c r="X40" s="1351"/>
      <c r="Y40" s="3749"/>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7"/>
      <c r="Q41" s="706" t="str">
        <f t="shared" si="11"/>
        <v>进深比</v>
      </c>
      <c r="R41" s="707" t="s">
        <v>14</v>
      </c>
      <c r="S41" s="708">
        <f t="shared" si="12"/>
        <v>100</v>
      </c>
      <c r="T41" s="707" t="s">
        <v>14</v>
      </c>
      <c r="U41" s="708">
        <f t="shared" si="13"/>
        <v>100</v>
      </c>
      <c r="V41" s="707" t="s">
        <v>14</v>
      </c>
      <c r="W41" s="708">
        <f t="shared" si="14"/>
        <v>100</v>
      </c>
      <c r="X41" s="709"/>
      <c r="Y41" s="3749"/>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7"/>
      <c r="Q42" s="1348" t="str">
        <f t="shared" si="11"/>
        <v>内部装修</v>
      </c>
      <c r="R42" s="704" t="s">
        <v>14</v>
      </c>
      <c r="S42" s="705">
        <f t="shared" si="12"/>
        <v>100</v>
      </c>
      <c r="T42" s="704" t="s">
        <v>14</v>
      </c>
      <c r="U42" s="705">
        <f t="shared" si="13"/>
        <v>100</v>
      </c>
      <c r="V42" s="704" t="s">
        <v>14</v>
      </c>
      <c r="W42" s="705">
        <f t="shared" si="14"/>
        <v>100</v>
      </c>
      <c r="X42" s="1351"/>
      <c r="Y42" s="3749"/>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7"/>
      <c r="Q43" s="1348" t="str">
        <f t="shared" si="11"/>
        <v>内部装修维护情况</v>
      </c>
      <c r="R43" s="704" t="s">
        <v>14</v>
      </c>
      <c r="S43" s="705">
        <f t="shared" si="12"/>
        <v>100</v>
      </c>
      <c r="T43" s="704" t="s">
        <v>14</v>
      </c>
      <c r="U43" s="705">
        <f t="shared" si="13"/>
        <v>100</v>
      </c>
      <c r="V43" s="704" t="s">
        <v>14</v>
      </c>
      <c r="W43" s="705">
        <f t="shared" si="14"/>
        <v>100</v>
      </c>
      <c r="X43" s="1351"/>
      <c r="Y43" s="3749"/>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7"/>
      <c r="Q44" s="1339">
        <f t="shared" si="11"/>
        <v>111</v>
      </c>
      <c r="R44" s="700" t="s">
        <v>14</v>
      </c>
      <c r="S44" s="701">
        <f t="shared" si="12"/>
        <v>100</v>
      </c>
      <c r="T44" s="700" t="s">
        <v>14</v>
      </c>
      <c r="U44" s="701">
        <f t="shared" si="13"/>
        <v>100</v>
      </c>
      <c r="V44" s="700" t="s">
        <v>14</v>
      </c>
      <c r="W44" s="701">
        <f t="shared" si="14"/>
        <v>100</v>
      </c>
      <c r="X44" s="702"/>
      <c r="Y44" s="3749"/>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7"/>
      <c r="Q45" s="1348">
        <f t="shared" si="11"/>
        <v>111</v>
      </c>
      <c r="R45" s="704" t="s">
        <v>14</v>
      </c>
      <c r="S45" s="705">
        <f t="shared" si="12"/>
        <v>100</v>
      </c>
      <c r="T45" s="704" t="s">
        <v>14</v>
      </c>
      <c r="U45" s="705">
        <f t="shared" si="13"/>
        <v>100</v>
      </c>
      <c r="V45" s="704" t="s">
        <v>14</v>
      </c>
      <c r="W45" s="705">
        <f t="shared" si="14"/>
        <v>100</v>
      </c>
      <c r="X45" s="1351"/>
      <c r="Y45" s="3749"/>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1" t="str">
        <f>A47</f>
        <v>成交单价（元/平方米）</v>
      </c>
      <c r="Q47" s="3751"/>
      <c r="R47" s="3713">
        <f>E47</f>
        <v>48625</v>
      </c>
      <c r="S47" s="3713"/>
      <c r="T47" s="3713">
        <f>G47</f>
        <v>51160</v>
      </c>
      <c r="U47" s="3713"/>
      <c r="V47" s="3713">
        <f>I47</f>
        <v>56603</v>
      </c>
      <c r="W47" s="3713"/>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1" t="str">
        <f>A48</f>
        <v>比较价值（元/平方米）</v>
      </c>
      <c r="Q48" s="3751"/>
      <c r="R48" s="3752">
        <f>IF(F1="售价",ROUND(PRODUCT(R47,AA7:AA46),0),ROUND(PRODUCT(R47,AA7:AA46),1))</f>
        <v>44961</v>
      </c>
      <c r="S48" s="3752"/>
      <c r="T48" s="3752">
        <f>IF(F1="售价",ROUND(PRODUCT(T47,AB7:AB46),0),ROUND(PRODUCT(T47,AB7:AB46),1))</f>
        <v>49670</v>
      </c>
      <c r="U48" s="3752"/>
      <c r="V48" s="3752">
        <f>IF(F1="售价",ROUND(PRODUCT(V47,AC7:AC46),0),ROUND(PRODUCT(V47,AC7:AC46),1))</f>
        <v>51834</v>
      </c>
      <c r="W48" s="3752"/>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3" t="str">
        <f>A49</f>
        <v>估价对象XX用房的比较价值（楼面单价，元/平方米）</v>
      </c>
      <c r="Q49" s="3754"/>
      <c r="R49" s="3755">
        <f>IF(F1="售价",ROUND(IF(D48="简单平均",AVERAGE(R48:V48),R48*F48+T48*H48+V48*J48),0),ROUND(IF(D48="简单平均",AVERAGE(R48:V48),R48*F48+T48*H48+V48*J48),1))</f>
        <v>48822</v>
      </c>
      <c r="S49" s="3755"/>
      <c r="T49" s="3755"/>
      <c r="U49" s="3755"/>
      <c r="V49" s="3755"/>
      <c r="W49" s="375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7</v>
      </c>
      <c r="H1" s="1057" t="str">
        <f>IF(ISERROR(FIND("住宅",B1)),"非住宅","住宅")</f>
        <v>非住宅</v>
      </c>
    </row>
    <row r="2" spans="1:8" s="200" customFormat="1" ht="18" customHeight="1">
      <c r="A2" s="201" t="s">
        <v>1459</v>
      </c>
      <c r="B2" s="3420">
        <f ca="1">ROUND(IF(D2="——",C52/10000,C52/10000-E2),4)</f>
        <v>13670.269399999999</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6758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72293206</v>
      </c>
      <c r="D5" s="211" t="s">
        <v>1466</v>
      </c>
      <c r="E5" s="212" t="s">
        <v>1467</v>
      </c>
      <c r="F5" s="212" t="s">
        <v>1468</v>
      </c>
      <c r="G5" s="213"/>
    </row>
    <row r="6" spans="1:8" s="214" customFormat="1" ht="13.5" customHeight="1">
      <c r="A6" s="774" t="s">
        <v>1469</v>
      </c>
      <c r="B6" s="215" t="s">
        <v>1470</v>
      </c>
      <c r="C6" s="216">
        <f>ROUND(基准地价修正!C33*基准地价修正!D33,0)</f>
        <v>66227616</v>
      </c>
      <c r="D6" s="217"/>
      <c r="E6" s="218"/>
      <c r="F6" s="218"/>
      <c r="G6" s="219"/>
    </row>
    <row r="7" spans="1:8" s="214" customFormat="1" ht="13.5" customHeight="1">
      <c r="A7" s="774" t="s">
        <v>1471</v>
      </c>
      <c r="B7" s="215" t="s">
        <v>1472</v>
      </c>
      <c r="C7" s="220">
        <f>ROUND(C6*F7,0)</f>
        <v>2019942</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4045648</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4045648</v>
      </c>
      <c r="D10" s="841">
        <f ca="1">IF(B1="",'数据-汇总表'!E6,IF(INDIRECT("'数据-取费表'!c"&amp;$G$1)="住宅",INDIRECT("'数据-取费表'!s"&amp;$G$1),INDIRECT("'数据-取费表'!k"&amp;$G$1)+INDIRECT("'数据-取费表'!s"&amp;$G$1)))</f>
        <v>20228.239999999998</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20228.239999999998</v>
      </c>
      <c r="E19" s="211">
        <f>'数据-取费表'!B31</f>
        <v>200</v>
      </c>
      <c r="F19" s="231"/>
      <c r="G19" s="1852" t="s">
        <v>3434</v>
      </c>
    </row>
    <row r="20" spans="1:7" s="214" customFormat="1" ht="13.5" customHeight="1">
      <c r="A20" s="255" t="s">
        <v>1571</v>
      </c>
      <c r="B20" s="210" t="s">
        <v>1572</v>
      </c>
      <c r="C20" s="232">
        <f ca="1">ROUND((C5+C19)*F20,0)</f>
        <v>2168796</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3829137</v>
      </c>
      <c r="D22" s="235">
        <f ca="1">C26</f>
        <v>5.0000000000000001E-4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3773258</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55879</v>
      </c>
      <c r="D25" s="238"/>
      <c r="E25" s="241"/>
      <c r="F25" s="239"/>
      <c r="G25" s="242" t="s">
        <v>1585</v>
      </c>
    </row>
    <row r="26" spans="1:7" s="214" customFormat="1">
      <c r="A26" s="776" t="s">
        <v>349</v>
      </c>
      <c r="B26" s="215" t="s">
        <v>1508</v>
      </c>
      <c r="C26" s="238">
        <f ca="1">ROUND(IF('数据-取费表'!B22&lt;=1,F21*F22*'数据-取费表'!B22/2,F21*(POWER((1+F22),'数据-取费表'!B22/2)-1)),4)</f>
        <v>5.0000000000000001E-4</v>
      </c>
      <c r="D26" s="238"/>
      <c r="E26" s="241"/>
      <c r="F26" s="239"/>
      <c r="G26" s="243"/>
    </row>
    <row r="27" spans="1:7" s="214" customFormat="1" ht="24.75">
      <c r="A27" s="255" t="s">
        <v>1509</v>
      </c>
      <c r="B27" s="244" t="s">
        <v>1510</v>
      </c>
      <c r="C27" s="245">
        <f ca="1">C28</f>
        <v>3723100</v>
      </c>
      <c r="D27" s="235">
        <f ca="1">C29</f>
        <v>1E-3</v>
      </c>
      <c r="E27" s="236" t="s">
        <v>1511</v>
      </c>
      <c r="F27" s="246">
        <f ca="1">IF(B1="",'数据-取费表'!Q16,INDIRECT("'数据-取费表'!q"&amp;$G$1))</f>
        <v>0.05</v>
      </c>
      <c r="G27" s="247" t="s">
        <v>1512</v>
      </c>
    </row>
    <row r="28" spans="1:7" s="214" customFormat="1" ht="13.5" customHeight="1">
      <c r="A28" s="776" t="s">
        <v>345</v>
      </c>
      <c r="B28" s="248" t="s">
        <v>1513</v>
      </c>
      <c r="C28" s="249">
        <f ca="1">ROUND((C5+C19+C20)*F27,0)</f>
        <v>3723100</v>
      </c>
      <c r="D28" s="235"/>
      <c r="E28" s="236"/>
      <c r="F28" s="246"/>
      <c r="G28" s="247"/>
    </row>
    <row r="29" spans="1:7" s="214" customFormat="1" ht="13.5" customHeight="1">
      <c r="A29" s="776" t="s">
        <v>346</v>
      </c>
      <c r="B29" s="248" t="s">
        <v>1514</v>
      </c>
      <c r="C29" s="238">
        <f ca="1">ROUND(C21*F27,4)</f>
        <v>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88644876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58156190</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50570600</v>
      </c>
      <c r="D34" s="217"/>
      <c r="E34" s="220"/>
      <c r="F34" s="257"/>
      <c r="G34" s="219"/>
    </row>
    <row r="35" spans="1:7" ht="13.5" customHeight="1">
      <c r="A35" s="776" t="s">
        <v>350</v>
      </c>
      <c r="B35" s="215" t="s">
        <v>1524</v>
      </c>
      <c r="C35" s="220">
        <f ca="1">ROUND(C34*F35,0)</f>
        <v>2528530</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4045648</v>
      </c>
      <c r="D37" s="217">
        <f ca="1">D19</f>
        <v>20228.239999999998</v>
      </c>
      <c r="E37" s="249">
        <f>'数据-取费表'!B35</f>
        <v>200</v>
      </c>
      <c r="F37" s="259"/>
      <c r="G37" s="261"/>
    </row>
    <row r="38" spans="1:7" ht="13.5" customHeight="1">
      <c r="A38" s="776" t="s">
        <v>353</v>
      </c>
      <c r="B38" s="215" t="s">
        <v>1530</v>
      </c>
      <c r="C38" s="220">
        <f ca="1">ROUND(C34*F38,0)</f>
        <v>1011412</v>
      </c>
      <c r="D38" s="220"/>
      <c r="E38" s="220"/>
      <c r="F38" s="259">
        <f>'数据-取费表'!B36</f>
        <v>0.02</v>
      </c>
      <c r="G38" s="219" t="s">
        <v>1525</v>
      </c>
    </row>
    <row r="39" spans="1:7" s="214" customFormat="1" ht="13.5" customHeight="1">
      <c r="A39" s="255" t="s">
        <v>1531</v>
      </c>
      <c r="B39" s="210" t="s">
        <v>1532</v>
      </c>
      <c r="C39" s="232">
        <f ca="1">ROUND(C33*F20,0)</f>
        <v>1744686</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1543346</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1498394</v>
      </c>
      <c r="D42" s="238"/>
      <c r="E42" s="238"/>
      <c r="F42" s="239"/>
      <c r="G42" s="3700" t="s">
        <v>1588</v>
      </c>
    </row>
    <row r="43" spans="1:7" ht="13.5" customHeight="1">
      <c r="A43" s="776" t="s">
        <v>346</v>
      </c>
      <c r="B43" s="215" t="s">
        <v>1542</v>
      </c>
      <c r="C43" s="238">
        <f ca="1">ROUND(IF('数据-取费表'!B22&lt;=1,C39*F22*'数据-取费表'!B20/2,C39*(POWER((1+F22),'数据-取费表'!B20/2)-1)),0)</f>
        <v>44952</v>
      </c>
      <c r="D43" s="238"/>
      <c r="E43" s="238"/>
      <c r="F43" s="239"/>
      <c r="G43" s="3701"/>
    </row>
    <row r="44" spans="1:7" ht="13.5" customHeight="1">
      <c r="A44" s="776" t="s">
        <v>347</v>
      </c>
      <c r="B44" s="215" t="s">
        <v>1543</v>
      </c>
      <c r="C44" s="238">
        <f ca="1">ROUND(IF('数据-取费表'!B22&lt;=1,C40*F22*'数据-取费表'!B20/2,C40*(POWER((1+F22),'数据-取费表'!B20/2)-1)),4)</f>
        <v>5.0000000000000001E-4</v>
      </c>
      <c r="D44" s="238"/>
      <c r="E44" s="238"/>
      <c r="F44" s="239"/>
      <c r="G44" s="3702"/>
    </row>
    <row r="45" spans="1:7" s="214" customFormat="1" ht="13.5" customHeight="1">
      <c r="A45" s="255" t="s">
        <v>1544</v>
      </c>
      <c r="B45" s="244" t="s">
        <v>1510</v>
      </c>
      <c r="C45" s="245">
        <f ca="1">C46</f>
        <v>2995044</v>
      </c>
      <c r="D45" s="235">
        <f ca="1">C47</f>
        <v>1E-3</v>
      </c>
      <c r="E45" s="236" t="s">
        <v>1536</v>
      </c>
      <c r="F45" s="246">
        <f ca="1">F27</f>
        <v>0.05</v>
      </c>
      <c r="G45" s="247" t="s">
        <v>1545</v>
      </c>
    </row>
    <row r="46" spans="1:7" s="214" customFormat="1" ht="13.5" customHeight="1">
      <c r="A46" s="776" t="s">
        <v>345</v>
      </c>
      <c r="B46" s="248" t="s">
        <v>1546</v>
      </c>
      <c r="C46" s="249">
        <f ca="1">ROUND((C33+C39)*F27,0)</f>
        <v>2995044</v>
      </c>
      <c r="D46" s="263"/>
      <c r="E46" s="236"/>
      <c r="F46" s="246"/>
      <c r="G46" s="247"/>
    </row>
    <row r="47" spans="1:7" s="214" customFormat="1" ht="13.5" customHeight="1">
      <c r="A47" s="776" t="s">
        <v>346</v>
      </c>
      <c r="B47" s="248" t="s">
        <v>1547</v>
      </c>
      <c r="C47" s="238">
        <f ca="1">ROUND(C40*F27,4)</f>
        <v>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69649012</v>
      </c>
      <c r="D49" s="232"/>
      <c r="E49" s="232"/>
      <c r="F49" s="264"/>
      <c r="G49" s="234" t="s">
        <v>1551</v>
      </c>
    </row>
    <row r="50" spans="1:7" s="258" customFormat="1">
      <c r="A50" s="255" t="s">
        <v>1552</v>
      </c>
      <c r="B50" s="210" t="s">
        <v>1553</v>
      </c>
      <c r="C50" s="232"/>
      <c r="D50" s="232"/>
      <c r="E50" s="232"/>
      <c r="F50" s="264">
        <f>IF('数据-取费表'!B24=0,'数据-取费表'!N16,1)</f>
        <v>0.69</v>
      </c>
      <c r="G50" s="247"/>
    </row>
    <row r="51" spans="1:7" ht="16.5" customHeight="1">
      <c r="A51" s="255" t="s">
        <v>1555</v>
      </c>
      <c r="B51" s="210" t="s">
        <v>1590</v>
      </c>
      <c r="C51" s="232">
        <f ca="1">ROUND(C49*F50,0)</f>
        <v>48057818</v>
      </c>
      <c r="D51" s="232"/>
      <c r="E51" s="232"/>
      <c r="F51" s="264"/>
      <c r="G51" s="234" t="s">
        <v>1557</v>
      </c>
    </row>
    <row r="52" spans="1:7" s="208" customFormat="1" ht="16.5" thickBot="1">
      <c r="A52" s="265" t="s">
        <v>1558</v>
      </c>
      <c r="B52" s="266"/>
      <c r="C52" s="267">
        <f ca="1">C31+C51</f>
        <v>136702694</v>
      </c>
      <c r="D52" s="266"/>
      <c r="E52" s="266"/>
      <c r="F52" s="266"/>
      <c r="G52" s="268"/>
    </row>
    <row r="55" spans="1:7" ht="15">
      <c r="B55" s="270" t="s">
        <v>1559</v>
      </c>
      <c r="C55" s="271"/>
    </row>
    <row r="56" spans="1:7">
      <c r="B56" s="273" t="s">
        <v>801</v>
      </c>
      <c r="C56" s="275">
        <f ca="1">1-C57</f>
        <v>0.64800000000000002</v>
      </c>
    </row>
    <row r="57" spans="1:7">
      <c r="B57" s="273" t="s">
        <v>802</v>
      </c>
      <c r="C57" s="274">
        <f ca="1">ROUND(C51/C52,3)</f>
        <v>0.35199999999999998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t="e">
        <f ca="1">ROUND(D2/10000,4)</f>
        <v>#N/A</v>
      </c>
      <c r="C2" s="1383" t="s">
        <v>878</v>
      </c>
      <c r="D2" s="1467" t="e">
        <f ca="1">C40+J29+L46</f>
        <v>#N/A</v>
      </c>
      <c r="E2" s="1384" t="s">
        <v>879</v>
      </c>
      <c r="F2" s="1385"/>
      <c r="G2" s="2702"/>
      <c r="H2" s="2691"/>
      <c r="I2" s="2691"/>
      <c r="J2" s="2691"/>
      <c r="K2" s="2692"/>
      <c r="L2" s="2691"/>
      <c r="M2" s="2691"/>
    </row>
    <row r="3" spans="1:37" ht="18" customHeight="1" thickBot="1">
      <c r="A3" s="1386" t="s">
        <v>880</v>
      </c>
      <c r="B3" s="1387">
        <f ca="1">IF(ISERROR(D2/F43),0,ROUND(D2/F43,0))</f>
        <v>0</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t="e">
        <f ca="1">C6+C10+C12</f>
        <v>#N/A</v>
      </c>
      <c r="D5" s="1360" t="s">
        <v>888</v>
      </c>
      <c r="E5" s="1067"/>
      <c r="F5" s="1068"/>
      <c r="G5" s="1380"/>
      <c r="H5" s="299">
        <v>1</v>
      </c>
      <c r="I5" s="300" t="s">
        <v>887</v>
      </c>
      <c r="J5" s="1066" t="e">
        <f ca="1">J6+J10+J12</f>
        <v>#N/A</v>
      </c>
      <c r="K5" s="1360" t="s">
        <v>888</v>
      </c>
      <c r="L5" s="1067"/>
      <c r="M5" s="1068"/>
    </row>
    <row r="6" spans="1:37" ht="18" customHeight="1">
      <c r="A6" s="1065" t="s">
        <v>397</v>
      </c>
      <c r="B6" s="3705" t="s">
        <v>693</v>
      </c>
      <c r="C6" s="1070" t="e">
        <f ca="1">ROUND(F6*F8*F7*(1-F9),0)</f>
        <v>#N/A</v>
      </c>
      <c r="D6" s="155" t="s">
        <v>2101</v>
      </c>
      <c r="E6" s="302" t="s">
        <v>695</v>
      </c>
      <c r="F6" s="303" t="e">
        <f ca="1">INDIRECT("'数据-取费表'!u"&amp;$G$1)</f>
        <v>#N/A</v>
      </c>
      <c r="G6" s="1380"/>
      <c r="H6" s="1065" t="s">
        <v>397</v>
      </c>
      <c r="I6" s="3705" t="s">
        <v>693</v>
      </c>
      <c r="J6" s="301" t="e">
        <f ca="1">ROUND(M6*M8*M7*(1-M9),0)</f>
        <v>#N/A</v>
      </c>
      <c r="K6" s="1372" t="s">
        <v>2102</v>
      </c>
      <c r="L6" s="302" t="s">
        <v>695</v>
      </c>
      <c r="M6" s="303" t="e">
        <f ca="1">INDIRECT("'数据-取费表'!z"&amp;$G$1)</f>
        <v>#N/A</v>
      </c>
    </row>
    <row r="7" spans="1:37" ht="18" customHeight="1">
      <c r="A7" s="1069"/>
      <c r="B7" s="3706"/>
      <c r="C7" s="1071"/>
      <c r="D7" s="307"/>
      <c r="E7" s="1072"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1077" t="s">
        <v>704</v>
      </c>
      <c r="E13" s="1077"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ROUND(INDIRECT("'数据-取费表'!l"&amp;$G$1)*F43+'数据-取费表'!L14*INDIRECT("'数据-取费表'!S"&amp;$G$1),0)</f>
        <v>#N/A</v>
      </c>
      <c r="D14" s="1341" t="s">
        <v>707</v>
      </c>
      <c r="E14" s="1338"/>
      <c r="F14" s="319"/>
      <c r="G14" s="1380"/>
      <c r="H14" s="978" t="s">
        <v>397</v>
      </c>
      <c r="I14" s="302" t="s">
        <v>708</v>
      </c>
      <c r="J14" s="21" t="e">
        <f ca="1">C29</f>
        <v>#N/A</v>
      </c>
      <c r="K14" s="12"/>
      <c r="L14" s="803"/>
      <c r="M14" s="804"/>
    </row>
    <row r="15" spans="1:37" s="1393" customFormat="1" ht="18" customHeight="1" thickBot="1">
      <c r="A15" s="978" t="s">
        <v>398</v>
      </c>
      <c r="B15" s="302" t="s">
        <v>709</v>
      </c>
      <c r="C15" s="21" t="e">
        <f ca="1">ROUND(C14*F15,0)</f>
        <v>#N/A</v>
      </c>
      <c r="D15" s="320" t="s">
        <v>710</v>
      </c>
      <c r="E15" s="320"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ROUND(INDIRECT("'数据-取费表'!l"&amp;$G$1)*F43*F16,0)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1084"/>
      <c r="M16" s="1068"/>
    </row>
    <row r="17" spans="1:37" s="1393" customFormat="1" ht="18" customHeight="1">
      <c r="A17" s="978" t="s">
        <v>680</v>
      </c>
      <c r="B17" s="302" t="s">
        <v>715</v>
      </c>
      <c r="C17" s="21" t="e">
        <f ca="1">ROUND(F17*(F43+INDIRECT("'数据-取费表'!S"&amp;$G$1)),0)</f>
        <v>#N/A</v>
      </c>
      <c r="D17" s="302" t="s">
        <v>716</v>
      </c>
      <c r="E17" s="302" t="s">
        <v>717</v>
      </c>
      <c r="F17" s="23">
        <f>'数据-取费表'!B35</f>
        <v>200</v>
      </c>
      <c r="G17" s="1392"/>
      <c r="H17" s="978" t="s">
        <v>397</v>
      </c>
      <c r="I17" s="302" t="s">
        <v>718</v>
      </c>
      <c r="J17" s="2312" t="e">
        <f ca="1">ROUND(IF(AND(项目基本情况!B11="自然人",项目基本情况!B10="北京市"),J6*M17/(1+'数据-取费表'!C42),J18+J19+J20),0)</f>
        <v>#N/A</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ROUND(J6*M18/(1+'数据-取费表'!C42),0)</f>
        <v>#N/A</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1356"/>
      <c r="F19" s="23"/>
      <c r="G19" s="1380"/>
      <c r="H19" s="978" t="s">
        <v>398</v>
      </c>
      <c r="I19" s="302" t="s">
        <v>726</v>
      </c>
      <c r="J19" s="21" t="e">
        <f ca="1">IF(K19="按租金收入计税",ROUND(J6*M19/(1+'数据-取费表'!C42),0),ROUND(C29*M19*0.7,0))</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323" t="s">
        <v>728</v>
      </c>
      <c r="E20" s="302" t="s">
        <v>711</v>
      </c>
      <c r="F20" s="322">
        <f>'数据-取费表'!B37</f>
        <v>0.03</v>
      </c>
      <c r="G20" s="1392"/>
      <c r="H20" s="978" t="s">
        <v>679</v>
      </c>
      <c r="I20" s="155" t="s">
        <v>729</v>
      </c>
      <c r="J20" s="22" t="e">
        <f ca="1">ROUND(M20*M21,0)</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t="e">
        <f ca="1">ROUND(J14*M22,0)</f>
        <v>#N/A</v>
      </c>
      <c r="K22" s="1340"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ROUND(J13*M23,0)</f>
        <v>#N/A</v>
      </c>
      <c r="K23" s="1340"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ROUND(J5*M24,0)</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t="e">
        <f ca="1">J5-J16</f>
        <v>#N/A</v>
      </c>
      <c r="K25" s="1091" t="s">
        <v>752</v>
      </c>
      <c r="L25" s="1092"/>
      <c r="M25" s="1093"/>
    </row>
    <row r="26" spans="1:37" ht="18" customHeight="1">
      <c r="A26" s="978" t="s">
        <v>396</v>
      </c>
      <c r="B26" s="302" t="s">
        <v>753</v>
      </c>
      <c r="C26" s="21" t="e">
        <f ca="1">ROUND((C19+C20)*F26,0)</f>
        <v>#N/A</v>
      </c>
      <c r="D26" s="323"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323" t="s">
        <v>760</v>
      </c>
      <c r="E27" s="320"/>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108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ROUND(IF(AND(项目基本情况!B11="自然人",项目基本情况!B10="北京市"),C6*F31/(1+'数据-取费表'!C42),C32+C33+C34),0)</f>
        <v>#N/A</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IF(项目基本情况!B11="自然人","——",ROUND(C6*F32/(1+'数据-取费表'!C42),0))</f>
        <v>#N/A</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IF(项目基本情况!B11="自然人","——",IF(D33="按租金收入计税",ROUND(C6*F33/(1+'数据-取费表'!C42),0),IF(D33="按房产原值计税",ROUND(C29*F33*0.7,0),INDIRECT("'数据-取费表'!Aj"&amp;$G$1))))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IF(项目基本情况!B11="自然人","——",ROUND(F34*F35,0))</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ROUND(C29*F36,0)</f>
        <v>#N/A</v>
      </c>
      <c r="D36" s="1340"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ROUND(C13*F37,0)</f>
        <v>#N/A</v>
      </c>
      <c r="D37" s="1340"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ROUND(C5*F38,0)</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t="e">
        <f ca="1">ROUND((C68-C40)/10000,4)</f>
        <v>#N/A</v>
      </c>
      <c r="D45" s="3427" t="s">
        <v>3350</v>
      </c>
      <c r="E45" s="1396"/>
      <c r="F45" s="1396"/>
      <c r="O45" s="1399" t="s">
        <v>807</v>
      </c>
      <c r="P45" s="1457"/>
      <c r="Q45" s="1457"/>
      <c r="R45" s="1457"/>
    </row>
    <row r="46" spans="1:18" s="1380" customFormat="1" ht="13.5" thickBot="1">
      <c r="A46" s="1400" t="s">
        <v>808</v>
      </c>
      <c r="C46" s="1401" t="e">
        <f ca="1">ROUND(C45,0)</f>
        <v>#N/A</v>
      </c>
      <c r="D46" s="1402" t="str">
        <f>C2</f>
        <v>万元</v>
      </c>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1355"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ROUND(F49*F51*F50*(1-F52),0)</f>
        <v>#N/A</v>
      </c>
      <c r="D49" s="1051" t="s">
        <v>694</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976"/>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t="e">
        <f ca="1">J53</f>
        <v>#N/A</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971"/>
      <c r="B54" s="1469" t="s">
        <v>890</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36" customHeight="1" thickTop="1" thickBot="1">
      <c r="A56" s="953">
        <v>2</v>
      </c>
      <c r="B56" s="954" t="s">
        <v>703</v>
      </c>
      <c r="C56" s="232" t="e">
        <f ca="1">C13</f>
        <v>#N/A</v>
      </c>
      <c r="D56" s="1443"/>
      <c r="E56" s="1444"/>
      <c r="F56" s="1436"/>
      <c r="I56" s="1445" t="s">
        <v>841</v>
      </c>
      <c r="J56" s="1446" t="s">
        <v>3380</v>
      </c>
      <c r="K56" s="1417" t="s">
        <v>842</v>
      </c>
      <c r="L56" s="1420" t="e">
        <f ca="1">IF(L48&lt;J51,"——",L48-J51)</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891</v>
      </c>
      <c r="L57" s="1420" t="e">
        <f ca="1">IF(L48&lt;J51,"——",IF(L55="比较法",L49,IF(L55="基准地价",L50,L51)))</f>
        <v>#N/A</v>
      </c>
      <c r="O57" s="1414" t="s">
        <v>403</v>
      </c>
      <c r="P57" s="1415" t="s">
        <v>892</v>
      </c>
      <c r="Q57" s="1416" t="e">
        <f ca="1">L60</f>
        <v>#N/A</v>
      </c>
      <c r="R57" s="1416" t="s">
        <v>893</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894</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IF(项目基本情况!B11="自然人","——",ROUND(C48*F60/(1+'数据-取费表'!C42),0))</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IF(项目基本情况!B11="自然人","——",IF(D61="按租金收入计税",ROUND(C49*F61/(1+'数据-取费表'!C42),0),IF(D61="按房产原值计税",ROUND(C57*F61*0.7,0),INDIRECT("'数据-取费表'!Aj"&amp;$G$1))))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IF(项目基本情况!B11="自然人","——",ROUND(F62*F63,0))</f>
        <v>#N/A</v>
      </c>
      <c r="D62" s="961" t="s">
        <v>785</v>
      </c>
      <c r="E62" s="946" t="s">
        <v>786</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ROUND(C57*F64,0)</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ROUND(C56*F65,0)</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ROUND(C48*F66,0)</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6" t="s">
        <v>2316</v>
      </c>
      <c r="K2" s="3757"/>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8" t="s">
        <v>2326</v>
      </c>
      <c r="K3" s="3759"/>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8" t="s">
        <v>2328</v>
      </c>
      <c r="K4" s="3759"/>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0" t="s">
        <v>2332</v>
      </c>
      <c r="B6" s="3761"/>
      <c r="C6" s="3762"/>
      <c r="D6" s="2866"/>
      <c r="E6" s="2867"/>
      <c r="F6" s="2868"/>
      <c r="G6" s="2869"/>
      <c r="H6" s="2844"/>
      <c r="I6" s="2845"/>
      <c r="J6" s="3763">
        <v>1</v>
      </c>
      <c r="K6" s="3764"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3"/>
      <c r="K7" s="3765"/>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7" t="s">
        <v>2346</v>
      </c>
      <c r="C8" s="3768"/>
      <c r="D8" s="2885" t="s">
        <v>2347</v>
      </c>
      <c r="E8" s="2886" t="s">
        <v>2348</v>
      </c>
      <c r="F8" s="2887" t="s">
        <v>2349</v>
      </c>
      <c r="G8" s="2888"/>
      <c r="H8" s="2844"/>
      <c r="I8" s="2845"/>
      <c r="J8" s="3763"/>
      <c r="K8" s="3765"/>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7" t="s">
        <v>2352</v>
      </c>
      <c r="C9" s="3768"/>
      <c r="D9" s="2885">
        <f>ROUND(D6*E9,0)</f>
        <v>0</v>
      </c>
      <c r="E9" s="2889"/>
      <c r="F9" s="2890" t="s">
        <v>2353</v>
      </c>
      <c r="G9" s="2869"/>
      <c r="H9" s="2844"/>
      <c r="I9" s="2845"/>
      <c r="J9" s="3763"/>
      <c r="K9" s="3765"/>
      <c r="L9" s="2879" t="s">
        <v>2354</v>
      </c>
      <c r="M9" s="2880"/>
      <c r="N9" s="2856"/>
      <c r="O9" s="2881"/>
      <c r="P9" s="2881"/>
      <c r="Q9" s="2882">
        <v>365</v>
      </c>
      <c r="R9" s="2883">
        <f t="shared" si="0"/>
        <v>0</v>
      </c>
      <c r="S9" s="2837"/>
      <c r="T9" s="2837"/>
      <c r="U9" s="2837"/>
      <c r="V9" s="2845"/>
    </row>
    <row r="10" spans="1:22" s="2849" customFormat="1" ht="13.15" customHeight="1">
      <c r="A10" s="2884">
        <v>2</v>
      </c>
      <c r="B10" s="3767" t="s">
        <v>2355</v>
      </c>
      <c r="C10" s="3768"/>
      <c r="D10" s="2885">
        <f>ROUND(D6*E10,0)</f>
        <v>0</v>
      </c>
      <c r="E10" s="2889"/>
      <c r="F10" s="2890" t="s">
        <v>2356</v>
      </c>
      <c r="G10" s="2869"/>
      <c r="H10" s="2844"/>
      <c r="I10" s="2845"/>
      <c r="J10" s="3763"/>
      <c r="K10" s="3765"/>
      <c r="L10" s="2879" t="s">
        <v>2357</v>
      </c>
      <c r="M10" s="2880"/>
      <c r="N10" s="2856"/>
      <c r="O10" s="2881"/>
      <c r="P10" s="2881"/>
      <c r="Q10" s="2882">
        <v>365</v>
      </c>
      <c r="R10" s="2883">
        <f t="shared" si="0"/>
        <v>0</v>
      </c>
      <c r="S10" s="2837"/>
      <c r="T10" s="2837"/>
      <c r="U10" s="2837"/>
      <c r="V10" s="2845"/>
    </row>
    <row r="11" spans="1:22" s="2849" customFormat="1" ht="13.15" customHeight="1">
      <c r="A11" s="2884">
        <v>3</v>
      </c>
      <c r="B11" s="3767" t="s">
        <v>2358</v>
      </c>
      <c r="C11" s="3768"/>
      <c r="D11" s="2885">
        <f>D12+D14+D15+D16</f>
        <v>0</v>
      </c>
      <c r="E11" s="2891" t="e">
        <f>D11/D6</f>
        <v>#DIV/0!</v>
      </c>
      <c r="F11" s="2887"/>
      <c r="G11" s="2888"/>
      <c r="H11" s="2844"/>
      <c r="I11" s="2845"/>
      <c r="J11" s="3763"/>
      <c r="K11" s="3765"/>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9" t="s">
        <v>2361</v>
      </c>
      <c r="C12" s="3770"/>
      <c r="D12" s="2893">
        <f>ROUND(D13*1.2%*(1-30%),0)</f>
        <v>0</v>
      </c>
      <c r="E12" s="2894">
        <v>1.2E-2</v>
      </c>
      <c r="F12" s="2887" t="s">
        <v>2362</v>
      </c>
      <c r="G12" s="2888"/>
      <c r="H12" s="2844"/>
      <c r="I12" s="2845"/>
      <c r="J12" s="3763"/>
      <c r="K12" s="3765"/>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3"/>
      <c r="K13" s="3765"/>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9" t="s">
        <v>2367</v>
      </c>
      <c r="C14" s="3770"/>
      <c r="D14" s="2893">
        <f>ROUND(E14*B5/10000,0)</f>
        <v>0</v>
      </c>
      <c r="E14" s="2882"/>
      <c r="F14" s="2887" t="s">
        <v>2368</v>
      </c>
      <c r="G14" s="2888"/>
      <c r="H14" s="2844"/>
      <c r="I14" s="2845"/>
      <c r="J14" s="3763"/>
      <c r="K14" s="3766"/>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9" t="s">
        <v>2371</v>
      </c>
      <c r="C15" s="3770"/>
      <c r="D15" s="2893">
        <f>ROUND(D6*E15,0)</f>
        <v>0</v>
      </c>
      <c r="E15" s="2894">
        <v>5.5E-2</v>
      </c>
      <c r="F15" s="2887" t="s">
        <v>2372</v>
      </c>
      <c r="G15" s="2869"/>
      <c r="H15" s="2844"/>
      <c r="I15" s="2845"/>
      <c r="J15" s="3763">
        <v>2</v>
      </c>
      <c r="K15" s="3764"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9" t="s">
        <v>2380</v>
      </c>
      <c r="C16" s="3770"/>
      <c r="D16" s="2904">
        <f>D6*E16</f>
        <v>0</v>
      </c>
      <c r="E16" s="2905"/>
      <c r="F16" s="2890" t="s">
        <v>2381</v>
      </c>
      <c r="G16" s="2869"/>
      <c r="H16" s="2844"/>
      <c r="I16" s="2845"/>
      <c r="J16" s="3763"/>
      <c r="K16" s="3765"/>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1" t="s">
        <v>2383</v>
      </c>
      <c r="C17" s="3772"/>
      <c r="D17" s="2907">
        <f>ROUND(D6*E17,0)</f>
        <v>0</v>
      </c>
      <c r="E17" s="2908"/>
      <c r="F17" s="2909" t="s">
        <v>2384</v>
      </c>
      <c r="G17" s="2869"/>
      <c r="H17" s="2844"/>
      <c r="I17" s="2845"/>
      <c r="J17" s="3763"/>
      <c r="K17" s="3765"/>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3"/>
      <c r="K18" s="3765"/>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3"/>
      <c r="K19" s="3766"/>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3">
        <v>3</v>
      </c>
      <c r="K20" s="3764"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3"/>
      <c r="K21" s="3765"/>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3"/>
      <c r="K22" s="3765"/>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3"/>
      <c r="K23" s="3765"/>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3"/>
      <c r="K24" s="3766"/>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3">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6" t="s">
        <v>2316</v>
      </c>
      <c r="K32" s="3757"/>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8" t="s">
        <v>2326</v>
      </c>
      <c r="K33" s="3759"/>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8" t="s">
        <v>2328</v>
      </c>
      <c r="K34" s="375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3">
        <v>1</v>
      </c>
      <c r="K36" s="3764"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3"/>
      <c r="K37" s="3765"/>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3"/>
      <c r="K38" s="3765"/>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3"/>
      <c r="K39" s="3765"/>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3"/>
      <c r="K40" s="3766"/>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3">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20228.239999999998</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9" t="s">
        <v>1664</v>
      </c>
      <c r="D4" s="3730"/>
      <c r="E4" s="3731" t="s">
        <v>1665</v>
      </c>
      <c r="F4" s="3732"/>
      <c r="G4" s="3729" t="s">
        <v>1666</v>
      </c>
      <c r="H4" s="3730"/>
      <c r="I4" s="3729" t="s">
        <v>1667</v>
      </c>
      <c r="J4" s="3730"/>
      <c r="K4" s="1885" t="s">
        <v>1668</v>
      </c>
      <c r="L4" s="2711"/>
      <c r="M4" s="2712"/>
      <c r="N4" s="2712"/>
      <c r="O4" s="2712"/>
      <c r="P4" s="3733" t="s">
        <v>1669</v>
      </c>
      <c r="Q4" s="3734"/>
      <c r="R4" s="3716" t="s">
        <v>1665</v>
      </c>
      <c r="S4" s="3717"/>
      <c r="T4" s="3716" t="s">
        <v>1666</v>
      </c>
      <c r="U4" s="3717"/>
      <c r="V4" s="3713" t="s">
        <v>1667</v>
      </c>
      <c r="W4" s="3713"/>
      <c r="X4" s="1351"/>
      <c r="Y4" s="3716" t="s">
        <v>1669</v>
      </c>
      <c r="Z4" s="3717"/>
      <c r="AA4" s="3710" t="s">
        <v>1665</v>
      </c>
      <c r="AB4" s="3710" t="s">
        <v>1666</v>
      </c>
      <c r="AC4" s="3710" t="s">
        <v>1667</v>
      </c>
    </row>
    <row r="5" spans="1:29" ht="15">
      <c r="A5" s="358"/>
      <c r="B5" s="359"/>
      <c r="C5" s="3722" t="s">
        <v>1670</v>
      </c>
      <c r="D5" s="3723"/>
      <c r="E5" s="3720" t="s">
        <v>1671</v>
      </c>
      <c r="F5" s="3721"/>
      <c r="G5" s="3722" t="s">
        <v>1672</v>
      </c>
      <c r="H5" s="3723"/>
      <c r="I5" s="3722" t="s">
        <v>1673</v>
      </c>
      <c r="J5" s="3723"/>
      <c r="K5" s="1886"/>
      <c r="L5" s="2711"/>
      <c r="M5" s="2712"/>
      <c r="N5" s="2712"/>
      <c r="O5" s="2712"/>
      <c r="P5" s="3735"/>
      <c r="Q5" s="3736"/>
      <c r="R5" s="3718"/>
      <c r="S5" s="3719"/>
      <c r="T5" s="3718"/>
      <c r="U5" s="3719"/>
      <c r="V5" s="3713"/>
      <c r="W5" s="3713"/>
      <c r="X5" s="1351"/>
      <c r="Y5" s="3718"/>
      <c r="Z5" s="3719"/>
      <c r="AA5" s="3711"/>
      <c r="AB5" s="3711"/>
      <c r="AC5" s="3711"/>
    </row>
    <row r="6" spans="1:29" ht="15.75" thickBot="1">
      <c r="A6" s="360"/>
      <c r="B6" s="361"/>
      <c r="C6" s="3724" t="s">
        <v>1674</v>
      </c>
      <c r="D6" s="3725"/>
      <c r="E6" s="3726" t="s">
        <v>1674</v>
      </c>
      <c r="F6" s="3727"/>
      <c r="G6" s="3724" t="s">
        <v>1674</v>
      </c>
      <c r="H6" s="3725"/>
      <c r="I6" s="3724" t="s">
        <v>1674</v>
      </c>
      <c r="J6" s="3725"/>
      <c r="K6" s="1886" t="s">
        <v>1675</v>
      </c>
      <c r="L6" s="2711"/>
      <c r="M6" s="2712"/>
      <c r="N6" s="2712"/>
      <c r="O6" s="2712"/>
      <c r="P6" s="3737"/>
      <c r="Q6" s="3738"/>
      <c r="R6" s="3718"/>
      <c r="S6" s="3719"/>
      <c r="T6" s="3739"/>
      <c r="U6" s="3740"/>
      <c r="V6" s="3713"/>
      <c r="W6" s="3713"/>
      <c r="X6" s="1351"/>
      <c r="Y6" s="3739"/>
      <c r="Z6" s="3740"/>
      <c r="AA6" s="3712"/>
      <c r="AB6" s="3712"/>
      <c r="AC6" s="3712"/>
    </row>
    <row r="7" spans="1:29" s="108" customFormat="1" ht="15.75" thickBot="1">
      <c r="A7" s="362" t="s">
        <v>1676</v>
      </c>
      <c r="B7" s="363"/>
      <c r="C7" s="364">
        <f>'数据-取费表'!B2</f>
        <v>45467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4" t="s">
        <v>1677</v>
      </c>
      <c r="Q7" s="3741"/>
      <c r="R7" s="700" t="s">
        <v>20</v>
      </c>
      <c r="S7" s="701">
        <f t="shared" ref="S7:S15" si="0">F7</f>
        <v>0</v>
      </c>
      <c r="T7" s="700" t="s">
        <v>20</v>
      </c>
      <c r="U7" s="701">
        <f t="shared" ref="U7:U15" si="1">H7</f>
        <v>0</v>
      </c>
      <c r="V7" s="700" t="s">
        <v>20</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4" t="s">
        <v>1680</v>
      </c>
      <c r="Q8" s="3715"/>
      <c r="R8" s="700" t="s">
        <v>20</v>
      </c>
      <c r="S8" s="701">
        <f t="shared" si="0"/>
        <v>100</v>
      </c>
      <c r="T8" s="700" t="s">
        <v>20</v>
      </c>
      <c r="U8" s="701">
        <f t="shared" si="1"/>
        <v>100</v>
      </c>
      <c r="V8" s="700" t="s">
        <v>20</v>
      </c>
      <c r="W8" s="701">
        <f t="shared" si="2"/>
        <v>100</v>
      </c>
      <c r="X8" s="702"/>
      <c r="Y8" s="3714" t="s">
        <v>1680</v>
      </c>
      <c r="Z8" s="3715"/>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8"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8"/>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8"/>
      <c r="Q11" s="1339" t="str">
        <f t="shared" si="6"/>
        <v>容积率</v>
      </c>
      <c r="R11" s="700" t="s">
        <v>18</v>
      </c>
      <c r="S11" s="701" t="e">
        <f t="shared" si="0"/>
        <v>#N/A</v>
      </c>
      <c r="T11" s="700" t="s">
        <v>18</v>
      </c>
      <c r="U11" s="701" t="e">
        <f t="shared" si="1"/>
        <v>#N/A</v>
      </c>
      <c r="V11" s="700" t="s">
        <v>18</v>
      </c>
      <c r="W11" s="701" t="e">
        <f t="shared" si="2"/>
        <v>#N/A</v>
      </c>
      <c r="X11" s="702"/>
      <c r="Y11" s="3676"/>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8"/>
      <c r="Q12" s="1339">
        <f t="shared" si="6"/>
        <v>111</v>
      </c>
      <c r="R12" s="700" t="s">
        <v>18</v>
      </c>
      <c r="S12" s="701">
        <f t="shared" si="0"/>
        <v>100</v>
      </c>
      <c r="T12" s="700" t="s">
        <v>18</v>
      </c>
      <c r="U12" s="701">
        <f t="shared" si="1"/>
        <v>100</v>
      </c>
      <c r="V12" s="700" t="s">
        <v>18</v>
      </c>
      <c r="W12" s="701">
        <f t="shared" si="2"/>
        <v>100</v>
      </c>
      <c r="X12" s="702"/>
      <c r="Y12" s="3676"/>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8"/>
      <c r="Q13" s="1339">
        <f t="shared" si="6"/>
        <v>111</v>
      </c>
      <c r="R13" s="700" t="s">
        <v>18</v>
      </c>
      <c r="S13" s="701">
        <f t="shared" si="0"/>
        <v>100</v>
      </c>
      <c r="T13" s="700" t="s">
        <v>18</v>
      </c>
      <c r="U13" s="701">
        <f t="shared" si="1"/>
        <v>100</v>
      </c>
      <c r="V13" s="700" t="s">
        <v>18</v>
      </c>
      <c r="W13" s="701">
        <f t="shared" si="2"/>
        <v>100</v>
      </c>
      <c r="X13" s="702"/>
      <c r="Y13" s="3676"/>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8"/>
      <c r="Q14" s="1339">
        <f t="shared" si="6"/>
        <v>111</v>
      </c>
      <c r="R14" s="700" t="s">
        <v>18</v>
      </c>
      <c r="S14" s="701">
        <f t="shared" si="0"/>
        <v>100</v>
      </c>
      <c r="T14" s="700" t="s">
        <v>18</v>
      </c>
      <c r="U14" s="701">
        <f t="shared" si="1"/>
        <v>100</v>
      </c>
      <c r="V14" s="700" t="s">
        <v>18</v>
      </c>
      <c r="W14" s="701">
        <f t="shared" si="2"/>
        <v>100</v>
      </c>
      <c r="X14" s="702"/>
      <c r="Y14" s="3676"/>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2" t="s">
        <v>1688</v>
      </c>
      <c r="Q15" s="1348" t="str">
        <f t="shared" si="6"/>
        <v>居住社区成熟度</v>
      </c>
      <c r="R15" s="704" t="s">
        <v>18</v>
      </c>
      <c r="S15" s="705">
        <f t="shared" si="0"/>
        <v>100</v>
      </c>
      <c r="T15" s="704" t="s">
        <v>18</v>
      </c>
      <c r="U15" s="705">
        <f t="shared" si="1"/>
        <v>100</v>
      </c>
      <c r="V15" s="704" t="s">
        <v>18</v>
      </c>
      <c r="W15" s="705">
        <f t="shared" si="2"/>
        <v>100</v>
      </c>
      <c r="X15" s="1351"/>
      <c r="Y15" s="3744"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3"/>
      <c r="Q16" s="1348"/>
      <c r="R16" s="704"/>
      <c r="S16" s="705"/>
      <c r="T16" s="704"/>
      <c r="U16" s="705"/>
      <c r="V16" s="704"/>
      <c r="W16" s="705"/>
      <c r="X16" s="1351"/>
      <c r="Y16" s="3745"/>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3"/>
      <c r="Q17" s="1348" t="str">
        <f>B17</f>
        <v>交通便捷度</v>
      </c>
      <c r="R17" s="704" t="s">
        <v>18</v>
      </c>
      <c r="S17" s="705">
        <f>F17</f>
        <v>100</v>
      </c>
      <c r="T17" s="704" t="s">
        <v>18</v>
      </c>
      <c r="U17" s="705">
        <f>H17</f>
        <v>100</v>
      </c>
      <c r="V17" s="704" t="s">
        <v>18</v>
      </c>
      <c r="W17" s="705">
        <f>J17</f>
        <v>100</v>
      </c>
      <c r="X17" s="1351"/>
      <c r="Y17" s="3745"/>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3"/>
      <c r="Q18" s="1348"/>
      <c r="R18" s="704"/>
      <c r="S18" s="705"/>
      <c r="T18" s="704"/>
      <c r="U18" s="705"/>
      <c r="V18" s="704"/>
      <c r="W18" s="705"/>
      <c r="X18" s="1351"/>
      <c r="Y18" s="3745"/>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3"/>
      <c r="Q19" s="1348" t="str">
        <f>B19</f>
        <v>公共配套设施</v>
      </c>
      <c r="R19" s="704" t="s">
        <v>18</v>
      </c>
      <c r="S19" s="705">
        <f>F19</f>
        <v>100</v>
      </c>
      <c r="T19" s="704" t="s">
        <v>18</v>
      </c>
      <c r="U19" s="705">
        <f>H19</f>
        <v>100</v>
      </c>
      <c r="V19" s="704" t="s">
        <v>18</v>
      </c>
      <c r="W19" s="705">
        <f>J19</f>
        <v>100</v>
      </c>
      <c r="X19" s="1351"/>
      <c r="Y19" s="3745"/>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3"/>
      <c r="Q20" s="1348"/>
      <c r="R20" s="704"/>
      <c r="S20" s="705"/>
      <c r="T20" s="704"/>
      <c r="U20" s="705"/>
      <c r="V20" s="704"/>
      <c r="W20" s="705"/>
      <c r="X20" s="1351"/>
      <c r="Y20" s="3745"/>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3"/>
      <c r="Q21" s="1348" t="str">
        <f>B21</f>
        <v>基础设施水平</v>
      </c>
      <c r="R21" s="704" t="s">
        <v>14</v>
      </c>
      <c r="S21" s="705">
        <f>F21</f>
        <v>100</v>
      </c>
      <c r="T21" s="704" t="s">
        <v>14</v>
      </c>
      <c r="U21" s="705">
        <f>H21</f>
        <v>100</v>
      </c>
      <c r="V21" s="704" t="s">
        <v>14</v>
      </c>
      <c r="W21" s="705">
        <f>J21</f>
        <v>100</v>
      </c>
      <c r="X21" s="1351"/>
      <c r="Y21" s="374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3"/>
      <c r="Q22" s="1348"/>
      <c r="R22" s="704"/>
      <c r="S22" s="705"/>
      <c r="T22" s="704"/>
      <c r="U22" s="705"/>
      <c r="V22" s="704"/>
      <c r="W22" s="705"/>
      <c r="X22" s="1351"/>
      <c r="Y22" s="3745"/>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3"/>
      <c r="Q23" s="1348" t="str">
        <f>B23</f>
        <v>自然及人文环境</v>
      </c>
      <c r="R23" s="704" t="s">
        <v>18</v>
      </c>
      <c r="S23" s="705">
        <f>F23</f>
        <v>100</v>
      </c>
      <c r="T23" s="704" t="s">
        <v>18</v>
      </c>
      <c r="U23" s="705">
        <f>H23</f>
        <v>100</v>
      </c>
      <c r="V23" s="704" t="s">
        <v>18</v>
      </c>
      <c r="W23" s="705">
        <f>J23</f>
        <v>100</v>
      </c>
      <c r="X23" s="1351"/>
      <c r="Y23" s="3745"/>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3"/>
      <c r="Q24" s="1348"/>
      <c r="R24" s="704"/>
      <c r="S24" s="705"/>
      <c r="T24" s="704"/>
      <c r="U24" s="705"/>
      <c r="V24" s="704"/>
      <c r="W24" s="705"/>
      <c r="X24" s="1351"/>
      <c r="Y24" s="3745"/>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3"/>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5"/>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3"/>
      <c r="Q26" s="1348" t="str">
        <f t="shared" si="11"/>
        <v>朝向</v>
      </c>
      <c r="R26" s="704" t="s">
        <v>18</v>
      </c>
      <c r="S26" s="705">
        <f t="shared" si="12"/>
        <v>100</v>
      </c>
      <c r="T26" s="704" t="s">
        <v>18</v>
      </c>
      <c r="U26" s="705">
        <f t="shared" si="13"/>
        <v>100</v>
      </c>
      <c r="V26" s="704" t="s">
        <v>18</v>
      </c>
      <c r="W26" s="705">
        <f t="shared" si="14"/>
        <v>100</v>
      </c>
      <c r="X26" s="1351"/>
      <c r="Y26" s="3745"/>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3"/>
      <c r="Q27" s="1339">
        <f t="shared" si="11"/>
        <v>111</v>
      </c>
      <c r="R27" s="700" t="s">
        <v>18</v>
      </c>
      <c r="S27" s="701">
        <f t="shared" si="12"/>
        <v>100</v>
      </c>
      <c r="T27" s="700" t="s">
        <v>18</v>
      </c>
      <c r="U27" s="701">
        <f t="shared" si="13"/>
        <v>100</v>
      </c>
      <c r="V27" s="700" t="s">
        <v>18</v>
      </c>
      <c r="W27" s="701">
        <f t="shared" si="14"/>
        <v>100</v>
      </c>
      <c r="X27" s="702"/>
      <c r="Y27" s="3745"/>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3"/>
      <c r="Q28" s="1348">
        <f t="shared" si="11"/>
        <v>111</v>
      </c>
      <c r="R28" s="704" t="s">
        <v>18</v>
      </c>
      <c r="S28" s="705">
        <f t="shared" si="12"/>
        <v>100</v>
      </c>
      <c r="T28" s="704" t="s">
        <v>18</v>
      </c>
      <c r="U28" s="705">
        <f t="shared" si="13"/>
        <v>100</v>
      </c>
      <c r="V28" s="704" t="s">
        <v>18</v>
      </c>
      <c r="W28" s="705">
        <f t="shared" si="14"/>
        <v>100</v>
      </c>
      <c r="X28" s="1351"/>
      <c r="Y28" s="3745"/>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3"/>
      <c r="Q29" s="1348">
        <f t="shared" si="11"/>
        <v>111</v>
      </c>
      <c r="R29" s="704" t="s">
        <v>18</v>
      </c>
      <c r="S29" s="705">
        <f t="shared" si="12"/>
        <v>100</v>
      </c>
      <c r="T29" s="704" t="s">
        <v>18</v>
      </c>
      <c r="U29" s="705">
        <f t="shared" si="13"/>
        <v>100</v>
      </c>
      <c r="V29" s="704" t="s">
        <v>18</v>
      </c>
      <c r="W29" s="705">
        <f t="shared" si="14"/>
        <v>100</v>
      </c>
      <c r="X29" s="1351"/>
      <c r="Y29" s="3745"/>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3"/>
      <c r="Q30" s="1348">
        <f t="shared" si="11"/>
        <v>111</v>
      </c>
      <c r="R30" s="704" t="s">
        <v>18</v>
      </c>
      <c r="S30" s="705">
        <f t="shared" si="12"/>
        <v>100</v>
      </c>
      <c r="T30" s="704" t="s">
        <v>18</v>
      </c>
      <c r="U30" s="705">
        <f t="shared" si="13"/>
        <v>100</v>
      </c>
      <c r="V30" s="704" t="s">
        <v>18</v>
      </c>
      <c r="W30" s="705">
        <f t="shared" si="14"/>
        <v>100</v>
      </c>
      <c r="X30" s="1351"/>
      <c r="Y30" s="3745"/>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3"/>
      <c r="Q31" s="1348">
        <f t="shared" si="11"/>
        <v>111</v>
      </c>
      <c r="R31" s="704" t="s">
        <v>18</v>
      </c>
      <c r="S31" s="705">
        <f t="shared" si="12"/>
        <v>100</v>
      </c>
      <c r="T31" s="704" t="s">
        <v>18</v>
      </c>
      <c r="U31" s="705">
        <f t="shared" si="13"/>
        <v>100</v>
      </c>
      <c r="V31" s="704" t="s">
        <v>18</v>
      </c>
      <c r="W31" s="705">
        <f t="shared" si="14"/>
        <v>100</v>
      </c>
      <c r="X31" s="1351"/>
      <c r="Y31" s="3745"/>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6" t="s">
        <v>1693</v>
      </c>
      <c r="Q32" s="1348" t="str">
        <f t="shared" si="11"/>
        <v>建筑类型</v>
      </c>
      <c r="R32" s="704" t="s">
        <v>18</v>
      </c>
      <c r="S32" s="705">
        <f t="shared" si="12"/>
        <v>100</v>
      </c>
      <c r="T32" s="704" t="s">
        <v>18</v>
      </c>
      <c r="U32" s="705">
        <f t="shared" si="13"/>
        <v>100</v>
      </c>
      <c r="V32" s="704" t="s">
        <v>18</v>
      </c>
      <c r="W32" s="705">
        <f t="shared" si="14"/>
        <v>100</v>
      </c>
      <c r="X32" s="1351"/>
      <c r="Y32" s="3749"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7"/>
      <c r="Q33" s="706" t="str">
        <f t="shared" si="11"/>
        <v>项目建筑规模</v>
      </c>
      <c r="R33" s="707" t="s">
        <v>18</v>
      </c>
      <c r="S33" s="708" t="e">
        <f t="shared" si="12"/>
        <v>#N/A</v>
      </c>
      <c r="T33" s="707" t="s">
        <v>18</v>
      </c>
      <c r="U33" s="708" t="e">
        <f t="shared" si="13"/>
        <v>#N/A</v>
      </c>
      <c r="V33" s="707" t="s">
        <v>18</v>
      </c>
      <c r="W33" s="708" t="e">
        <f t="shared" si="14"/>
        <v>#N/A</v>
      </c>
      <c r="X33" s="709"/>
      <c r="Y33" s="3749"/>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7"/>
      <c r="Q34" s="1348" t="str">
        <f t="shared" si="11"/>
        <v>建筑结构</v>
      </c>
      <c r="R34" s="704" t="s">
        <v>18</v>
      </c>
      <c r="S34" s="705">
        <f t="shared" si="12"/>
        <v>100</v>
      </c>
      <c r="T34" s="704" t="s">
        <v>18</v>
      </c>
      <c r="U34" s="705">
        <f t="shared" si="13"/>
        <v>100</v>
      </c>
      <c r="V34" s="704" t="s">
        <v>18</v>
      </c>
      <c r="W34" s="705">
        <f t="shared" si="14"/>
        <v>100</v>
      </c>
      <c r="X34" s="1351"/>
      <c r="Y34" s="3749"/>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7"/>
      <c r="Q35" s="1348" t="str">
        <f t="shared" si="11"/>
        <v>建筑品质</v>
      </c>
      <c r="R35" s="704" t="s">
        <v>18</v>
      </c>
      <c r="S35" s="705">
        <f t="shared" si="12"/>
        <v>100</v>
      </c>
      <c r="T35" s="704" t="s">
        <v>18</v>
      </c>
      <c r="U35" s="705">
        <f t="shared" si="13"/>
        <v>100</v>
      </c>
      <c r="V35" s="704" t="s">
        <v>18</v>
      </c>
      <c r="W35" s="705">
        <f t="shared" si="14"/>
        <v>100</v>
      </c>
      <c r="X35" s="1351"/>
      <c r="Y35" s="3749"/>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7"/>
      <c r="Q36" s="1348" t="str">
        <f t="shared" si="11"/>
        <v>公共部分装修</v>
      </c>
      <c r="R36" s="704" t="s">
        <v>18</v>
      </c>
      <c r="S36" s="705">
        <f t="shared" si="12"/>
        <v>100</v>
      </c>
      <c r="T36" s="704" t="s">
        <v>18</v>
      </c>
      <c r="U36" s="705">
        <f t="shared" si="13"/>
        <v>100</v>
      </c>
      <c r="V36" s="704" t="s">
        <v>18</v>
      </c>
      <c r="W36" s="705">
        <f t="shared" si="14"/>
        <v>100</v>
      </c>
      <c r="X36" s="1351"/>
      <c r="Y36" s="3749"/>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7"/>
      <c r="Q37" s="1339" t="str">
        <f t="shared" si="11"/>
        <v>成新度</v>
      </c>
      <c r="R37" s="700" t="s">
        <v>18</v>
      </c>
      <c r="S37" s="701" t="e">
        <f t="shared" si="12"/>
        <v>#N/A</v>
      </c>
      <c r="T37" s="700" t="s">
        <v>18</v>
      </c>
      <c r="U37" s="701" t="e">
        <f t="shared" si="13"/>
        <v>#N/A</v>
      </c>
      <c r="V37" s="700" t="s">
        <v>18</v>
      </c>
      <c r="W37" s="701" t="e">
        <f t="shared" si="14"/>
        <v>#N/A</v>
      </c>
      <c r="X37" s="702"/>
      <c r="Y37" s="3749"/>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7" t="s">
        <v>1693</v>
      </c>
      <c r="Q38" s="1348" t="str">
        <f t="shared" si="11"/>
        <v>物业管理</v>
      </c>
      <c r="R38" s="704" t="s">
        <v>18</v>
      </c>
      <c r="S38" s="705">
        <f t="shared" si="12"/>
        <v>100</v>
      </c>
      <c r="T38" s="704" t="s">
        <v>18</v>
      </c>
      <c r="U38" s="705">
        <f t="shared" si="13"/>
        <v>100</v>
      </c>
      <c r="V38" s="704" t="s">
        <v>18</v>
      </c>
      <c r="W38" s="705">
        <f t="shared" si="14"/>
        <v>100</v>
      </c>
      <c r="X38" s="1351"/>
      <c r="Y38" s="3749"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7"/>
      <c r="Q39" s="1348" t="str">
        <f t="shared" si="11"/>
        <v>市政基础设施</v>
      </c>
      <c r="R39" s="704" t="s">
        <v>18</v>
      </c>
      <c r="S39" s="705">
        <f t="shared" si="12"/>
        <v>100</v>
      </c>
      <c r="T39" s="704" t="s">
        <v>18</v>
      </c>
      <c r="U39" s="705">
        <f t="shared" si="13"/>
        <v>100</v>
      </c>
      <c r="V39" s="704" t="s">
        <v>18</v>
      </c>
      <c r="W39" s="705">
        <f t="shared" si="14"/>
        <v>100</v>
      </c>
      <c r="X39" s="1351"/>
      <c r="Y39" s="3749"/>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7"/>
      <c r="Q40" s="1348" t="str">
        <f t="shared" si="11"/>
        <v>房型</v>
      </c>
      <c r="R40" s="704" t="s">
        <v>18</v>
      </c>
      <c r="S40" s="705">
        <f t="shared" si="12"/>
        <v>100</v>
      </c>
      <c r="T40" s="704" t="s">
        <v>18</v>
      </c>
      <c r="U40" s="705">
        <f t="shared" si="13"/>
        <v>100</v>
      </c>
      <c r="V40" s="704" t="s">
        <v>18</v>
      </c>
      <c r="W40" s="705">
        <f t="shared" si="14"/>
        <v>100</v>
      </c>
      <c r="X40" s="1351"/>
      <c r="Y40" s="3749"/>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7"/>
      <c r="Q41" s="706" t="str">
        <f t="shared" si="11"/>
        <v>单套/主力户型建筑面积</v>
      </c>
      <c r="R41" s="707" t="s">
        <v>18</v>
      </c>
      <c r="S41" s="708">
        <f t="shared" si="12"/>
        <v>100</v>
      </c>
      <c r="T41" s="707" t="s">
        <v>18</v>
      </c>
      <c r="U41" s="708">
        <f t="shared" si="13"/>
        <v>100</v>
      </c>
      <c r="V41" s="707" t="s">
        <v>18</v>
      </c>
      <c r="W41" s="708">
        <f t="shared" si="14"/>
        <v>100</v>
      </c>
      <c r="X41" s="709"/>
      <c r="Y41" s="3749"/>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7"/>
      <c r="Q42" s="1348" t="str">
        <f t="shared" si="11"/>
        <v>内部装修</v>
      </c>
      <c r="R42" s="704" t="s">
        <v>18</v>
      </c>
      <c r="S42" s="705">
        <f t="shared" si="12"/>
        <v>100</v>
      </c>
      <c r="T42" s="704" t="s">
        <v>18</v>
      </c>
      <c r="U42" s="705">
        <f t="shared" si="13"/>
        <v>100</v>
      </c>
      <c r="V42" s="704" t="s">
        <v>18</v>
      </c>
      <c r="W42" s="705">
        <f t="shared" si="14"/>
        <v>100</v>
      </c>
      <c r="X42" s="1351"/>
      <c r="Y42" s="3749"/>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7"/>
      <c r="Q43" s="1348" t="str">
        <f t="shared" si="11"/>
        <v>内部装修维护情况</v>
      </c>
      <c r="R43" s="704" t="s">
        <v>18</v>
      </c>
      <c r="S43" s="705">
        <f t="shared" si="12"/>
        <v>100</v>
      </c>
      <c r="T43" s="704" t="s">
        <v>18</v>
      </c>
      <c r="U43" s="705">
        <f t="shared" si="13"/>
        <v>100</v>
      </c>
      <c r="V43" s="704" t="s">
        <v>18</v>
      </c>
      <c r="W43" s="705">
        <f t="shared" si="14"/>
        <v>100</v>
      </c>
      <c r="X43" s="1351"/>
      <c r="Y43" s="3749"/>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7"/>
      <c r="Q44" s="1339">
        <f t="shared" si="11"/>
        <v>111</v>
      </c>
      <c r="R44" s="700" t="s">
        <v>18</v>
      </c>
      <c r="S44" s="701">
        <f t="shared" si="12"/>
        <v>100</v>
      </c>
      <c r="T44" s="700" t="s">
        <v>18</v>
      </c>
      <c r="U44" s="701">
        <f t="shared" si="13"/>
        <v>100</v>
      </c>
      <c r="V44" s="700" t="s">
        <v>18</v>
      </c>
      <c r="W44" s="701">
        <f t="shared" si="14"/>
        <v>100</v>
      </c>
      <c r="X44" s="702"/>
      <c r="Y44" s="3749"/>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7"/>
      <c r="Q45" s="1348">
        <f t="shared" si="11"/>
        <v>111</v>
      </c>
      <c r="R45" s="704" t="s">
        <v>18</v>
      </c>
      <c r="S45" s="705">
        <f t="shared" si="12"/>
        <v>100</v>
      </c>
      <c r="T45" s="704" t="s">
        <v>18</v>
      </c>
      <c r="U45" s="705">
        <f t="shared" si="13"/>
        <v>100</v>
      </c>
      <c r="V45" s="704" t="s">
        <v>18</v>
      </c>
      <c r="W45" s="705">
        <f t="shared" si="14"/>
        <v>100</v>
      </c>
      <c r="X45" s="1351"/>
      <c r="Y45" s="3749"/>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8"/>
      <c r="Q46" s="1348">
        <f t="shared" si="11"/>
        <v>111</v>
      </c>
      <c r="R46" s="704" t="s">
        <v>17</v>
      </c>
      <c r="S46" s="705">
        <f t="shared" si="12"/>
        <v>100</v>
      </c>
      <c r="T46" s="704" t="s">
        <v>17</v>
      </c>
      <c r="U46" s="705">
        <f t="shared" si="13"/>
        <v>100</v>
      </c>
      <c r="V46" s="704" t="s">
        <v>17</v>
      </c>
      <c r="W46" s="705">
        <f t="shared" si="14"/>
        <v>100</v>
      </c>
      <c r="X46" s="1351"/>
      <c r="Y46" s="3750"/>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1" t="str">
        <f>A47</f>
        <v>成交单价（元/平方米）</v>
      </c>
      <c r="Q47" s="3751"/>
      <c r="R47" s="3752">
        <f>E47</f>
        <v>0</v>
      </c>
      <c r="S47" s="3752"/>
      <c r="T47" s="3752">
        <f>G47</f>
        <v>0</v>
      </c>
      <c r="U47" s="3752"/>
      <c r="V47" s="3752">
        <f>I47</f>
        <v>0</v>
      </c>
      <c r="W47" s="3752"/>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估价对象为北京市房地产，为所有。根据《国有土地使用证》[]，估价对象（分摊）出让国有建设用地使用权面积为73586.24平方米，建筑面积为20228.24平方米。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估价对象为北京市房地产,属开发建设的工业项目，该项目尚在开发建设中。根据《国有土地使用证》[]，估价对象（分摊）出让国有建设用地使用权面积为73586.24平方米，规划建筑面积为20228.24平方米。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20228.239999999998</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81" t="s">
        <v>1772</v>
      </c>
      <c r="Q4" s="3782"/>
      <c r="R4" s="3776" t="s">
        <v>1768</v>
      </c>
      <c r="S4" s="3777"/>
      <c r="T4" s="3776" t="s">
        <v>1769</v>
      </c>
      <c r="U4" s="3777"/>
      <c r="V4" s="3785" t="s">
        <v>1770</v>
      </c>
      <c r="W4" s="3785"/>
      <c r="X4" s="1954"/>
      <c r="Y4" s="3776" t="s">
        <v>1772</v>
      </c>
      <c r="Z4" s="3777"/>
      <c r="AA4" s="3775" t="s">
        <v>1768</v>
      </c>
      <c r="AB4" s="3775" t="s">
        <v>1769</v>
      </c>
      <c r="AC4" s="3778" t="s">
        <v>1770</v>
      </c>
    </row>
    <row r="5" spans="1:29" ht="15">
      <c r="A5" s="358"/>
      <c r="B5" s="359"/>
      <c r="C5" s="3722" t="s">
        <v>1670</v>
      </c>
      <c r="D5" s="3723"/>
      <c r="E5" s="3720" t="s">
        <v>1671</v>
      </c>
      <c r="F5" s="3721"/>
      <c r="G5" s="3722" t="s">
        <v>1672</v>
      </c>
      <c r="H5" s="3723"/>
      <c r="I5" s="3722" t="s">
        <v>1673</v>
      </c>
      <c r="J5" s="3723"/>
      <c r="K5" s="559"/>
      <c r="L5" s="2711"/>
      <c r="M5" s="2712"/>
      <c r="N5" s="2712"/>
      <c r="O5" s="2712"/>
      <c r="P5" s="3783"/>
      <c r="Q5" s="3736"/>
      <c r="R5" s="3718"/>
      <c r="S5" s="3719"/>
      <c r="T5" s="3718"/>
      <c r="U5" s="3719"/>
      <c r="V5" s="3713"/>
      <c r="W5" s="3713"/>
      <c r="X5" s="1351"/>
      <c r="Y5" s="3718"/>
      <c r="Z5" s="3719"/>
      <c r="AA5" s="3711"/>
      <c r="AB5" s="3711"/>
      <c r="AC5" s="3779"/>
    </row>
    <row r="6" spans="1:29" ht="15.75" thickBot="1">
      <c r="A6" s="360"/>
      <c r="B6" s="361"/>
      <c r="C6" s="3724" t="s">
        <v>1674</v>
      </c>
      <c r="D6" s="3725"/>
      <c r="E6" s="3726" t="s">
        <v>1674</v>
      </c>
      <c r="F6" s="3727"/>
      <c r="G6" s="3724" t="s">
        <v>1674</v>
      </c>
      <c r="H6" s="3725"/>
      <c r="I6" s="3724" t="s">
        <v>1674</v>
      </c>
      <c r="J6" s="3725"/>
      <c r="K6" s="559" t="s">
        <v>1675</v>
      </c>
      <c r="L6" s="2711"/>
      <c r="M6" s="2712"/>
      <c r="N6" s="2712"/>
      <c r="O6" s="2712"/>
      <c r="P6" s="3784"/>
      <c r="Q6" s="3738"/>
      <c r="R6" s="3718"/>
      <c r="S6" s="3719"/>
      <c r="T6" s="3739"/>
      <c r="U6" s="3740"/>
      <c r="V6" s="3713"/>
      <c r="W6" s="3713"/>
      <c r="X6" s="1351"/>
      <c r="Y6" s="3739"/>
      <c r="Z6" s="3740"/>
      <c r="AA6" s="3712"/>
      <c r="AB6" s="3712"/>
      <c r="AC6" s="3780"/>
    </row>
    <row r="7" spans="1:29" s="108" customFormat="1" ht="15.75" thickBot="1">
      <c r="A7" s="362" t="s">
        <v>1676</v>
      </c>
      <c r="B7" s="363"/>
      <c r="C7" s="364">
        <f>'数据-取费表'!B2</f>
        <v>45467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6" t="s">
        <v>1677</v>
      </c>
      <c r="Q7" s="3741"/>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6" t="s">
        <v>1680</v>
      </c>
      <c r="Q8" s="3715"/>
      <c r="R8" s="700" t="s">
        <v>14</v>
      </c>
      <c r="S8" s="701">
        <f t="shared" si="0"/>
        <v>100</v>
      </c>
      <c r="T8" s="700" t="s">
        <v>14</v>
      </c>
      <c r="U8" s="701">
        <f t="shared" si="1"/>
        <v>100</v>
      </c>
      <c r="V8" s="700" t="s">
        <v>14</v>
      </c>
      <c r="W8" s="701">
        <f t="shared" si="2"/>
        <v>100</v>
      </c>
      <c r="X8" s="702"/>
      <c r="Y8" s="3714" t="s">
        <v>1680</v>
      </c>
      <c r="Z8" s="3715"/>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8"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8"/>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8"/>
      <c r="Q11" s="1339" t="str">
        <f t="shared" si="6"/>
        <v>容积率</v>
      </c>
      <c r="R11" s="700" t="s">
        <v>14</v>
      </c>
      <c r="S11" s="701">
        <f t="shared" si="0"/>
        <v>100</v>
      </c>
      <c r="T11" s="700" t="s">
        <v>14</v>
      </c>
      <c r="U11" s="701">
        <f t="shared" si="1"/>
        <v>100</v>
      </c>
      <c r="V11" s="700" t="s">
        <v>14</v>
      </c>
      <c r="W11" s="701">
        <f t="shared" si="2"/>
        <v>100</v>
      </c>
      <c r="X11" s="702"/>
      <c r="Y11" s="3676"/>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8"/>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8"/>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8"/>
      <c r="Q14" s="1339">
        <f t="shared" si="6"/>
        <v>111</v>
      </c>
      <c r="R14" s="700" t="s">
        <v>14</v>
      </c>
      <c r="S14" s="701">
        <f t="shared" si="0"/>
        <v>100</v>
      </c>
      <c r="T14" s="700" t="s">
        <v>14</v>
      </c>
      <c r="U14" s="701">
        <f t="shared" si="1"/>
        <v>100</v>
      </c>
      <c r="V14" s="700" t="s">
        <v>14</v>
      </c>
      <c r="W14" s="701">
        <f t="shared" si="2"/>
        <v>100</v>
      </c>
      <c r="X14" s="702"/>
      <c r="Y14" s="3676"/>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2" t="s">
        <v>1688</v>
      </c>
      <c r="Q15" s="1348" t="str">
        <f t="shared" si="6"/>
        <v>办公集聚程度</v>
      </c>
      <c r="R15" s="704" t="s">
        <v>14</v>
      </c>
      <c r="S15" s="705">
        <f t="shared" si="0"/>
        <v>100</v>
      </c>
      <c r="T15" s="704" t="s">
        <v>14</v>
      </c>
      <c r="U15" s="705">
        <f t="shared" si="1"/>
        <v>100</v>
      </c>
      <c r="V15" s="704" t="s">
        <v>14</v>
      </c>
      <c r="W15" s="705">
        <f t="shared" si="2"/>
        <v>100</v>
      </c>
      <c r="X15" s="1351"/>
      <c r="Y15" s="3744"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3"/>
      <c r="Q16" s="1348"/>
      <c r="R16" s="704"/>
      <c r="S16" s="705"/>
      <c r="T16" s="704"/>
      <c r="U16" s="705"/>
      <c r="V16" s="704"/>
      <c r="W16" s="705"/>
      <c r="X16" s="1351"/>
      <c r="Y16" s="3745"/>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3"/>
      <c r="Q17" s="1348" t="str">
        <f>B17</f>
        <v>交通便捷度</v>
      </c>
      <c r="R17" s="704" t="s">
        <v>14</v>
      </c>
      <c r="S17" s="705">
        <f>F17</f>
        <v>100</v>
      </c>
      <c r="T17" s="704" t="s">
        <v>14</v>
      </c>
      <c r="U17" s="705">
        <f>H17</f>
        <v>100</v>
      </c>
      <c r="V17" s="704" t="s">
        <v>14</v>
      </c>
      <c r="W17" s="705">
        <f>J17</f>
        <v>100</v>
      </c>
      <c r="X17" s="1351"/>
      <c r="Y17" s="3745"/>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3"/>
      <c r="Q18" s="1348"/>
      <c r="R18" s="704"/>
      <c r="S18" s="705"/>
      <c r="T18" s="704"/>
      <c r="U18" s="705"/>
      <c r="V18" s="704"/>
      <c r="W18" s="705"/>
      <c r="X18" s="1351"/>
      <c r="Y18" s="3745"/>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3"/>
      <c r="Q19" s="1348" t="str">
        <f>B19</f>
        <v>公共配套设施</v>
      </c>
      <c r="R19" s="704" t="s">
        <v>14</v>
      </c>
      <c r="S19" s="705">
        <f>F19</f>
        <v>100</v>
      </c>
      <c r="T19" s="704" t="s">
        <v>14</v>
      </c>
      <c r="U19" s="705">
        <f>H19</f>
        <v>100</v>
      </c>
      <c r="V19" s="704" t="s">
        <v>14</v>
      </c>
      <c r="W19" s="705">
        <f>J19</f>
        <v>100</v>
      </c>
      <c r="X19" s="1351"/>
      <c r="Y19" s="3745"/>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3"/>
      <c r="Q20" s="1348"/>
      <c r="R20" s="704"/>
      <c r="S20" s="705"/>
      <c r="T20" s="704"/>
      <c r="U20" s="705"/>
      <c r="V20" s="704"/>
      <c r="W20" s="705"/>
      <c r="X20" s="1351"/>
      <c r="Y20" s="3745"/>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3"/>
      <c r="Q21" s="1348" t="str">
        <f>B21</f>
        <v>基础设施水平</v>
      </c>
      <c r="R21" s="704" t="s">
        <v>14</v>
      </c>
      <c r="S21" s="705">
        <f>F21</f>
        <v>100</v>
      </c>
      <c r="T21" s="704" t="s">
        <v>14</v>
      </c>
      <c r="U21" s="705">
        <f>H21</f>
        <v>100</v>
      </c>
      <c r="V21" s="704" t="s">
        <v>14</v>
      </c>
      <c r="W21" s="705">
        <f>J21</f>
        <v>100</v>
      </c>
      <c r="X21" s="1351"/>
      <c r="Y21" s="3745"/>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3"/>
      <c r="Q22" s="1348"/>
      <c r="R22" s="704"/>
      <c r="S22" s="705"/>
      <c r="T22" s="704"/>
      <c r="U22" s="705"/>
      <c r="V22" s="704"/>
      <c r="W22" s="705"/>
      <c r="X22" s="1351"/>
      <c r="Y22" s="3745"/>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3"/>
      <c r="Q23" s="1348" t="str">
        <f>B23</f>
        <v>环境质量</v>
      </c>
      <c r="R23" s="704" t="s">
        <v>14</v>
      </c>
      <c r="S23" s="705">
        <f>F23</f>
        <v>100</v>
      </c>
      <c r="T23" s="704" t="s">
        <v>14</v>
      </c>
      <c r="U23" s="705">
        <f>H23</f>
        <v>100</v>
      </c>
      <c r="V23" s="704" t="s">
        <v>14</v>
      </c>
      <c r="W23" s="705">
        <f>J23</f>
        <v>100</v>
      </c>
      <c r="X23" s="1351"/>
      <c r="Y23" s="3745"/>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3"/>
      <c r="Q24" s="1348"/>
      <c r="R24" s="704"/>
      <c r="S24" s="705"/>
      <c r="T24" s="704"/>
      <c r="U24" s="705"/>
      <c r="V24" s="704"/>
      <c r="W24" s="705"/>
      <c r="X24" s="1351"/>
      <c r="Y24" s="3745"/>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3"/>
      <c r="Q25" s="1348" t="str">
        <f>B25</f>
        <v>毗邻道路的类型与等级</v>
      </c>
      <c r="R25" s="704" t="s">
        <v>14</v>
      </c>
      <c r="S25" s="705">
        <f>F25</f>
        <v>100</v>
      </c>
      <c r="T25" s="704" t="s">
        <v>14</v>
      </c>
      <c r="U25" s="705">
        <f>H25</f>
        <v>100</v>
      </c>
      <c r="V25" s="704" t="s">
        <v>14</v>
      </c>
      <c r="W25" s="705">
        <f>J25</f>
        <v>100</v>
      </c>
      <c r="X25" s="1351"/>
      <c r="Y25" s="3745"/>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3"/>
      <c r="Q26" s="1348"/>
      <c r="R26" s="704"/>
      <c r="S26" s="705"/>
      <c r="T26" s="704"/>
      <c r="U26" s="705"/>
      <c r="V26" s="704"/>
      <c r="W26" s="705"/>
      <c r="X26" s="1351"/>
      <c r="Y26" s="3745"/>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3"/>
      <c r="Q27" s="1348" t="str">
        <f t="shared" ref="Q27:Q47" si="11">B27</f>
        <v>楼层</v>
      </c>
      <c r="R27" s="704" t="s">
        <v>14</v>
      </c>
      <c r="S27" s="705">
        <f>F27</f>
        <v>100</v>
      </c>
      <c r="T27" s="704" t="s">
        <v>14</v>
      </c>
      <c r="U27" s="705">
        <f>H27</f>
        <v>100</v>
      </c>
      <c r="V27" s="704" t="s">
        <v>14</v>
      </c>
      <c r="W27" s="705">
        <f>J27</f>
        <v>100</v>
      </c>
      <c r="X27" s="1351"/>
      <c r="Y27" s="3745"/>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3"/>
      <c r="Q28" s="1339" t="str">
        <f t="shared" si="11"/>
        <v>朝向</v>
      </c>
      <c r="R28" s="700" t="s">
        <v>14</v>
      </c>
      <c r="S28" s="701">
        <f>F28</f>
        <v>100</v>
      </c>
      <c r="T28" s="700" t="s">
        <v>14</v>
      </c>
      <c r="U28" s="701">
        <f>H28</f>
        <v>100</v>
      </c>
      <c r="V28" s="700" t="s">
        <v>14</v>
      </c>
      <c r="W28" s="701">
        <f>J28</f>
        <v>100</v>
      </c>
      <c r="X28" s="702"/>
      <c r="Y28" s="3745"/>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3"/>
      <c r="Q29" s="1348">
        <f t="shared" si="11"/>
        <v>111</v>
      </c>
      <c r="R29" s="704" t="s">
        <v>14</v>
      </c>
      <c r="S29" s="705">
        <f t="shared" ref="S29:S47" si="12">F29</f>
        <v>100</v>
      </c>
      <c r="T29" s="704" t="s">
        <v>14</v>
      </c>
      <c r="U29" s="705">
        <f t="shared" ref="U29:U47" si="13">H29</f>
        <v>100</v>
      </c>
      <c r="V29" s="704" t="s">
        <v>14</v>
      </c>
      <c r="W29" s="705">
        <f t="shared" ref="W29:W47" si="14">J29</f>
        <v>100</v>
      </c>
      <c r="X29" s="1351"/>
      <c r="Y29" s="3745"/>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3"/>
      <c r="Q30" s="1348">
        <f t="shared" si="11"/>
        <v>111</v>
      </c>
      <c r="R30" s="704" t="s">
        <v>14</v>
      </c>
      <c r="S30" s="705">
        <f t="shared" si="12"/>
        <v>100</v>
      </c>
      <c r="T30" s="704" t="s">
        <v>14</v>
      </c>
      <c r="U30" s="705">
        <f t="shared" si="13"/>
        <v>100</v>
      </c>
      <c r="V30" s="704" t="s">
        <v>14</v>
      </c>
      <c r="W30" s="705">
        <f t="shared" si="14"/>
        <v>100</v>
      </c>
      <c r="X30" s="1351"/>
      <c r="Y30" s="3745"/>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3"/>
      <c r="Q31" s="1348">
        <f t="shared" si="11"/>
        <v>111</v>
      </c>
      <c r="R31" s="704" t="s">
        <v>14</v>
      </c>
      <c r="S31" s="705">
        <f t="shared" si="12"/>
        <v>100</v>
      </c>
      <c r="T31" s="704" t="s">
        <v>14</v>
      </c>
      <c r="U31" s="705">
        <f t="shared" si="13"/>
        <v>100</v>
      </c>
      <c r="V31" s="704" t="s">
        <v>14</v>
      </c>
      <c r="W31" s="705">
        <f t="shared" si="14"/>
        <v>100</v>
      </c>
      <c r="X31" s="1351"/>
      <c r="Y31" s="3745"/>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3"/>
      <c r="Q32" s="1348">
        <f t="shared" si="11"/>
        <v>111</v>
      </c>
      <c r="R32" s="704" t="s">
        <v>14</v>
      </c>
      <c r="S32" s="705">
        <f t="shared" si="12"/>
        <v>100</v>
      </c>
      <c r="T32" s="704" t="s">
        <v>14</v>
      </c>
      <c r="U32" s="705">
        <f t="shared" si="13"/>
        <v>100</v>
      </c>
      <c r="V32" s="704" t="s">
        <v>14</v>
      </c>
      <c r="W32" s="705">
        <f t="shared" si="14"/>
        <v>100</v>
      </c>
      <c r="X32" s="1351"/>
      <c r="Y32" s="3745"/>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6" t="s">
        <v>1693</v>
      </c>
      <c r="Q33" s="1348" t="str">
        <f t="shared" si="11"/>
        <v>建筑类型</v>
      </c>
      <c r="R33" s="704" t="s">
        <v>14</v>
      </c>
      <c r="S33" s="705">
        <f t="shared" si="12"/>
        <v>100</v>
      </c>
      <c r="T33" s="704" t="s">
        <v>14</v>
      </c>
      <c r="U33" s="705">
        <f t="shared" si="13"/>
        <v>100</v>
      </c>
      <c r="V33" s="704" t="s">
        <v>14</v>
      </c>
      <c r="W33" s="705">
        <f t="shared" si="14"/>
        <v>100</v>
      </c>
      <c r="X33" s="1351"/>
      <c r="Y33" s="3749"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7"/>
      <c r="Q34" s="706" t="str">
        <f t="shared" si="11"/>
        <v>项目建筑规模</v>
      </c>
      <c r="R34" s="707" t="s">
        <v>14</v>
      </c>
      <c r="S34" s="708" t="e">
        <f t="shared" si="12"/>
        <v>#N/A</v>
      </c>
      <c r="T34" s="707" t="s">
        <v>14</v>
      </c>
      <c r="U34" s="708" t="e">
        <f t="shared" si="13"/>
        <v>#N/A</v>
      </c>
      <c r="V34" s="707" t="s">
        <v>14</v>
      </c>
      <c r="W34" s="708" t="e">
        <f t="shared" si="14"/>
        <v>#N/A</v>
      </c>
      <c r="X34" s="709"/>
      <c r="Y34" s="3749"/>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7"/>
      <c r="Q35" s="1348" t="str">
        <f t="shared" si="11"/>
        <v>建筑结构</v>
      </c>
      <c r="R35" s="704" t="s">
        <v>14</v>
      </c>
      <c r="S35" s="705">
        <f t="shared" si="12"/>
        <v>100</v>
      </c>
      <c r="T35" s="704" t="s">
        <v>14</v>
      </c>
      <c r="U35" s="705">
        <f t="shared" si="13"/>
        <v>100</v>
      </c>
      <c r="V35" s="704" t="s">
        <v>14</v>
      </c>
      <c r="W35" s="705">
        <f t="shared" si="14"/>
        <v>100</v>
      </c>
      <c r="X35" s="1351"/>
      <c r="Y35" s="3749"/>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7"/>
      <c r="Q36" s="1348" t="str">
        <f t="shared" si="11"/>
        <v>公共部分装修</v>
      </c>
      <c r="R36" s="704" t="s">
        <v>14</v>
      </c>
      <c r="S36" s="705">
        <f t="shared" si="12"/>
        <v>100</v>
      </c>
      <c r="T36" s="704" t="s">
        <v>14</v>
      </c>
      <c r="U36" s="705">
        <f t="shared" si="13"/>
        <v>100</v>
      </c>
      <c r="V36" s="704" t="s">
        <v>14</v>
      </c>
      <c r="W36" s="705">
        <f t="shared" si="14"/>
        <v>100</v>
      </c>
      <c r="X36" s="1351"/>
      <c r="Y36" s="3749"/>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7"/>
      <c r="Q37" s="1348" t="str">
        <f t="shared" si="11"/>
        <v>成新度</v>
      </c>
      <c r="R37" s="704" t="s">
        <v>14</v>
      </c>
      <c r="S37" s="705" t="e">
        <f t="shared" si="12"/>
        <v>#N/A</v>
      </c>
      <c r="T37" s="704" t="s">
        <v>14</v>
      </c>
      <c r="U37" s="705" t="e">
        <f t="shared" si="13"/>
        <v>#N/A</v>
      </c>
      <c r="V37" s="704" t="s">
        <v>14</v>
      </c>
      <c r="W37" s="705" t="e">
        <f t="shared" si="14"/>
        <v>#N/A</v>
      </c>
      <c r="X37" s="1351"/>
      <c r="Y37" s="3749"/>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7"/>
      <c r="Q38" s="1339" t="str">
        <f t="shared" si="11"/>
        <v>写字楼等级</v>
      </c>
      <c r="R38" s="700" t="s">
        <v>14</v>
      </c>
      <c r="S38" s="701">
        <f t="shared" si="12"/>
        <v>100</v>
      </c>
      <c r="T38" s="700" t="s">
        <v>14</v>
      </c>
      <c r="U38" s="701">
        <f t="shared" si="13"/>
        <v>100</v>
      </c>
      <c r="V38" s="700" t="s">
        <v>14</v>
      </c>
      <c r="W38" s="701">
        <f t="shared" si="14"/>
        <v>100</v>
      </c>
      <c r="X38" s="702"/>
      <c r="Y38" s="3749"/>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7" t="s">
        <v>1693</v>
      </c>
      <c r="Q39" s="1348" t="str">
        <f t="shared" si="11"/>
        <v>物业管理</v>
      </c>
      <c r="R39" s="704" t="s">
        <v>14</v>
      </c>
      <c r="S39" s="705">
        <f t="shared" si="12"/>
        <v>100</v>
      </c>
      <c r="T39" s="704" t="s">
        <v>14</v>
      </c>
      <c r="U39" s="705">
        <f t="shared" si="13"/>
        <v>100</v>
      </c>
      <c r="V39" s="704" t="s">
        <v>14</v>
      </c>
      <c r="W39" s="705">
        <f t="shared" si="14"/>
        <v>100</v>
      </c>
      <c r="X39" s="1351"/>
      <c r="Y39" s="3749"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7"/>
      <c r="Q40" s="1348" t="str">
        <f t="shared" si="11"/>
        <v>市政基础设施</v>
      </c>
      <c r="R40" s="704" t="s">
        <v>14</v>
      </c>
      <c r="S40" s="705">
        <f t="shared" si="12"/>
        <v>100</v>
      </c>
      <c r="T40" s="704" t="s">
        <v>14</v>
      </c>
      <c r="U40" s="705">
        <f t="shared" si="13"/>
        <v>100</v>
      </c>
      <c r="V40" s="704" t="s">
        <v>14</v>
      </c>
      <c r="W40" s="705">
        <f t="shared" si="14"/>
        <v>100</v>
      </c>
      <c r="X40" s="1351"/>
      <c r="Y40" s="3749"/>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7"/>
      <c r="Q41" s="1348" t="str">
        <f t="shared" si="11"/>
        <v>层高</v>
      </c>
      <c r="R41" s="704" t="s">
        <v>14</v>
      </c>
      <c r="S41" s="705">
        <f t="shared" si="12"/>
        <v>100</v>
      </c>
      <c r="T41" s="704" t="s">
        <v>14</v>
      </c>
      <c r="U41" s="705">
        <f t="shared" si="13"/>
        <v>100</v>
      </c>
      <c r="V41" s="704" t="s">
        <v>14</v>
      </c>
      <c r="W41" s="705">
        <f t="shared" si="14"/>
        <v>100</v>
      </c>
      <c r="X41" s="1351"/>
      <c r="Y41" s="3749"/>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7"/>
      <c r="Q43" s="1348" t="str">
        <f t="shared" si="11"/>
        <v>内部装修</v>
      </c>
      <c r="R43" s="704" t="s">
        <v>14</v>
      </c>
      <c r="S43" s="705">
        <f t="shared" si="12"/>
        <v>100</v>
      </c>
      <c r="T43" s="704" t="s">
        <v>14</v>
      </c>
      <c r="U43" s="705">
        <f t="shared" si="13"/>
        <v>100</v>
      </c>
      <c r="V43" s="704" t="s">
        <v>14</v>
      </c>
      <c r="W43" s="705">
        <f t="shared" si="14"/>
        <v>100</v>
      </c>
      <c r="X43" s="1351"/>
      <c r="Y43" s="3749"/>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7"/>
      <c r="Q44" s="1348" t="str">
        <f t="shared" si="11"/>
        <v>内部装修维护情况</v>
      </c>
      <c r="R44" s="704" t="s">
        <v>14</v>
      </c>
      <c r="S44" s="705">
        <f t="shared" si="12"/>
        <v>100</v>
      </c>
      <c r="T44" s="704" t="s">
        <v>14</v>
      </c>
      <c r="U44" s="705">
        <f t="shared" si="13"/>
        <v>100</v>
      </c>
      <c r="V44" s="704" t="s">
        <v>14</v>
      </c>
      <c r="W44" s="705">
        <f t="shared" si="14"/>
        <v>100</v>
      </c>
      <c r="X44" s="1351"/>
      <c r="Y44" s="3749"/>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7"/>
      <c r="Q45" s="1339">
        <f t="shared" si="11"/>
        <v>111</v>
      </c>
      <c r="R45" s="700" t="s">
        <v>14</v>
      </c>
      <c r="S45" s="701">
        <f t="shared" si="12"/>
        <v>100</v>
      </c>
      <c r="T45" s="700" t="s">
        <v>14</v>
      </c>
      <c r="U45" s="701">
        <f t="shared" si="13"/>
        <v>100</v>
      </c>
      <c r="V45" s="700" t="s">
        <v>14</v>
      </c>
      <c r="W45" s="701">
        <f t="shared" si="14"/>
        <v>100</v>
      </c>
      <c r="X45" s="702"/>
      <c r="Y45" s="3749"/>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7"/>
      <c r="Q46" s="1348">
        <f t="shared" si="11"/>
        <v>111</v>
      </c>
      <c r="R46" s="704" t="s">
        <v>14</v>
      </c>
      <c r="S46" s="705">
        <f t="shared" si="12"/>
        <v>100</v>
      </c>
      <c r="T46" s="704" t="s">
        <v>14</v>
      </c>
      <c r="U46" s="705">
        <f t="shared" si="13"/>
        <v>100</v>
      </c>
      <c r="V46" s="704" t="s">
        <v>14</v>
      </c>
      <c r="W46" s="705">
        <f t="shared" si="14"/>
        <v>100</v>
      </c>
      <c r="X46" s="1351"/>
      <c r="Y46" s="3749"/>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8"/>
      <c r="Q47" s="1348">
        <f t="shared" si="11"/>
        <v>111</v>
      </c>
      <c r="R47" s="704" t="s">
        <v>14</v>
      </c>
      <c r="S47" s="705">
        <f t="shared" si="12"/>
        <v>100</v>
      </c>
      <c r="T47" s="704" t="s">
        <v>14</v>
      </c>
      <c r="U47" s="705">
        <f t="shared" si="13"/>
        <v>100</v>
      </c>
      <c r="V47" s="704" t="s">
        <v>14</v>
      </c>
      <c r="W47" s="705">
        <f t="shared" si="14"/>
        <v>100</v>
      </c>
      <c r="X47" s="1351"/>
      <c r="Y47" s="3750"/>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8" t="str">
        <f>A48</f>
        <v>成交单价（元/平方米）</v>
      </c>
      <c r="Q48" s="3751"/>
      <c r="R48" s="3752">
        <f>E48</f>
        <v>0</v>
      </c>
      <c r="S48" s="3752"/>
      <c r="T48" s="3752">
        <f>G48</f>
        <v>0</v>
      </c>
      <c r="U48" s="3752"/>
      <c r="V48" s="3752">
        <f>I48</f>
        <v>0</v>
      </c>
      <c r="W48" s="3752"/>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8" t="str">
        <f>A49</f>
        <v>比较价值（元/平方米）</v>
      </c>
      <c r="Q49" s="3751"/>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7" t="str">
        <f>A50</f>
        <v>估价对象XX用房的比较价值（楼面单价，元/平方米）</v>
      </c>
      <c r="Q50" s="3788"/>
      <c r="R50" s="3789" t="e">
        <f>IF(F1="售价",ROUND(IF(D49="简单平均",AVERAGE(R49:V49),R49*F49+T49*H49+V49*J49),0),ROUND(IF(D49="简单平均",AVERAGE(R49:V49),R49*F49+T49*H49+V49*J49),1))</f>
        <v>#DIV/0!</v>
      </c>
      <c r="S50" s="3789"/>
      <c r="T50" s="3789"/>
      <c r="U50" s="3789"/>
      <c r="V50" s="3789"/>
      <c r="W50" s="378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20228.239999999998</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909"/>
      <c r="M4" s="910"/>
      <c r="N4" s="910"/>
      <c r="O4" s="910"/>
      <c r="P4" s="3733" t="s">
        <v>1772</v>
      </c>
      <c r="Q4" s="3734"/>
      <c r="R4" s="3716" t="s">
        <v>1768</v>
      </c>
      <c r="S4" s="3717"/>
      <c r="T4" s="3716" t="s">
        <v>1769</v>
      </c>
      <c r="U4" s="3717"/>
      <c r="V4" s="3713" t="s">
        <v>1770</v>
      </c>
      <c r="W4" s="3713"/>
      <c r="X4" s="1351"/>
      <c r="Y4" s="3716" t="s">
        <v>1772</v>
      </c>
      <c r="Z4" s="3717"/>
      <c r="AA4" s="3710" t="s">
        <v>1768</v>
      </c>
      <c r="AB4" s="3711" t="s">
        <v>1769</v>
      </c>
      <c r="AC4" s="3710" t="s">
        <v>1770</v>
      </c>
    </row>
    <row r="5" spans="1:29" ht="15">
      <c r="A5" s="358"/>
      <c r="B5" s="359"/>
      <c r="C5" s="3722" t="s">
        <v>1670</v>
      </c>
      <c r="D5" s="3723"/>
      <c r="E5" s="3720" t="s">
        <v>1671</v>
      </c>
      <c r="F5" s="3721"/>
      <c r="G5" s="3722" t="s">
        <v>1672</v>
      </c>
      <c r="H5" s="3723"/>
      <c r="I5" s="3722" t="s">
        <v>1673</v>
      </c>
      <c r="J5" s="3723"/>
      <c r="K5" s="559"/>
      <c r="L5" s="909"/>
      <c r="M5" s="910"/>
      <c r="N5" s="910"/>
      <c r="O5" s="910"/>
      <c r="P5" s="3735"/>
      <c r="Q5" s="3736"/>
      <c r="R5" s="3718"/>
      <c r="S5" s="3719"/>
      <c r="T5" s="3718"/>
      <c r="U5" s="3719"/>
      <c r="V5" s="3713"/>
      <c r="W5" s="3713"/>
      <c r="X5" s="1351"/>
      <c r="Y5" s="3718"/>
      <c r="Z5" s="3719"/>
      <c r="AA5" s="3711"/>
      <c r="AB5" s="3711"/>
      <c r="AC5" s="3711"/>
    </row>
    <row r="6" spans="1:29" ht="15.75" thickBot="1">
      <c r="A6" s="360"/>
      <c r="B6" s="361"/>
      <c r="C6" s="3724" t="s">
        <v>1674</v>
      </c>
      <c r="D6" s="3725"/>
      <c r="E6" s="3726" t="s">
        <v>1674</v>
      </c>
      <c r="F6" s="3727"/>
      <c r="G6" s="3724" t="s">
        <v>1674</v>
      </c>
      <c r="H6" s="3725"/>
      <c r="I6" s="3724" t="s">
        <v>1674</v>
      </c>
      <c r="J6" s="3725"/>
      <c r="K6" s="559" t="s">
        <v>1675</v>
      </c>
      <c r="L6" s="909"/>
      <c r="M6" s="910"/>
      <c r="N6" s="910"/>
      <c r="O6" s="910"/>
      <c r="P6" s="3737"/>
      <c r="Q6" s="3738"/>
      <c r="R6" s="3718"/>
      <c r="S6" s="3719"/>
      <c r="T6" s="3739"/>
      <c r="U6" s="3740"/>
      <c r="V6" s="3713"/>
      <c r="W6" s="3713"/>
      <c r="X6" s="1351"/>
      <c r="Y6" s="3739"/>
      <c r="Z6" s="3740"/>
      <c r="AA6" s="3712"/>
      <c r="AB6" s="3712"/>
      <c r="AC6" s="3712"/>
    </row>
    <row r="7" spans="1:29" s="108" customFormat="1" ht="15.75" thickBot="1">
      <c r="A7" s="362" t="s">
        <v>1676</v>
      </c>
      <c r="B7" s="363"/>
      <c r="C7" s="364">
        <f>'数据-取费表'!B2</f>
        <v>45467</v>
      </c>
      <c r="D7" s="365">
        <v>100</v>
      </c>
      <c r="E7" s="366"/>
      <c r="F7" s="367">
        <f>SUMIF(52:52,YEAR(E7)&amp;"-"&amp;MONTH(E7),53:53)</f>
        <v>0</v>
      </c>
      <c r="G7" s="366"/>
      <c r="H7" s="365">
        <f>SUMIF(52:52,YEAR(G7)&amp;"-"&amp;MONTH(G7),53:53)</f>
        <v>0</v>
      </c>
      <c r="I7" s="366"/>
      <c r="J7" s="365">
        <f>SUMIF(52:52,YEAR(I7)&amp;"-"&amp;MONTH(I7),53:53)</f>
        <v>0</v>
      </c>
      <c r="K7" s="560"/>
      <c r="L7" s="911"/>
      <c r="M7" s="912"/>
      <c r="N7" s="912"/>
      <c r="O7" s="912"/>
      <c r="P7" s="3714" t="s">
        <v>1677</v>
      </c>
      <c r="Q7" s="3741"/>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4" t="s">
        <v>1680</v>
      </c>
      <c r="Q8" s="3715"/>
      <c r="R8" s="700" t="s">
        <v>14</v>
      </c>
      <c r="S8" s="701">
        <f t="shared" si="0"/>
        <v>100</v>
      </c>
      <c r="T8" s="700" t="s">
        <v>14</v>
      </c>
      <c r="U8" s="701">
        <f t="shared" si="1"/>
        <v>100</v>
      </c>
      <c r="V8" s="700" t="s">
        <v>14</v>
      </c>
      <c r="W8" s="701">
        <f t="shared" si="2"/>
        <v>100</v>
      </c>
      <c r="X8" s="702"/>
      <c r="Y8" s="3714" t="s">
        <v>1680</v>
      </c>
      <c r="Z8" s="3715"/>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1"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1"/>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1"/>
      <c r="Q11" s="1339" t="str">
        <f t="shared" si="6"/>
        <v>容积率</v>
      </c>
      <c r="R11" s="700" t="s">
        <v>14</v>
      </c>
      <c r="S11" s="701">
        <f t="shared" si="0"/>
        <v>100</v>
      </c>
      <c r="T11" s="700" t="s">
        <v>14</v>
      </c>
      <c r="U11" s="701">
        <f t="shared" si="1"/>
        <v>100</v>
      </c>
      <c r="V11" s="700" t="s">
        <v>14</v>
      </c>
      <c r="W11" s="701">
        <f t="shared" si="2"/>
        <v>100</v>
      </c>
      <c r="X11" s="702"/>
      <c r="Y11" s="3676"/>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1"/>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1"/>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1"/>
      <c r="Q14" s="1339">
        <f t="shared" si="6"/>
        <v>111</v>
      </c>
      <c r="R14" s="700" t="s">
        <v>14</v>
      </c>
      <c r="S14" s="701">
        <f t="shared" si="0"/>
        <v>100</v>
      </c>
      <c r="T14" s="700" t="s">
        <v>14</v>
      </c>
      <c r="U14" s="701">
        <f t="shared" si="1"/>
        <v>100</v>
      </c>
      <c r="V14" s="700" t="s">
        <v>14</v>
      </c>
      <c r="W14" s="701">
        <f t="shared" si="2"/>
        <v>100</v>
      </c>
      <c r="X14" s="702"/>
      <c r="Y14" s="3676"/>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4" t="s">
        <v>1688</v>
      </c>
      <c r="Q15" s="1348" t="str">
        <f t="shared" si="6"/>
        <v>产业集聚程度</v>
      </c>
      <c r="R15" s="704" t="s">
        <v>14</v>
      </c>
      <c r="S15" s="705">
        <f t="shared" si="0"/>
        <v>100</v>
      </c>
      <c r="T15" s="704" t="s">
        <v>14</v>
      </c>
      <c r="U15" s="705">
        <f t="shared" si="1"/>
        <v>100</v>
      </c>
      <c r="V15" s="704" t="s">
        <v>14</v>
      </c>
      <c r="W15" s="705">
        <f t="shared" si="2"/>
        <v>100</v>
      </c>
      <c r="X15" s="1351"/>
      <c r="Y15" s="3744"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5"/>
      <c r="Q16" s="1348"/>
      <c r="R16" s="704"/>
      <c r="S16" s="705"/>
      <c r="T16" s="704"/>
      <c r="U16" s="705"/>
      <c r="V16" s="704"/>
      <c r="W16" s="705"/>
      <c r="X16" s="1351"/>
      <c r="Y16" s="3745"/>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5"/>
      <c r="Q17" s="1348" t="str">
        <f>B17</f>
        <v>交通便捷度</v>
      </c>
      <c r="R17" s="704" t="s">
        <v>14</v>
      </c>
      <c r="S17" s="705">
        <f>F17</f>
        <v>100</v>
      </c>
      <c r="T17" s="704" t="s">
        <v>14</v>
      </c>
      <c r="U17" s="705">
        <f>H17</f>
        <v>100</v>
      </c>
      <c r="V17" s="704" t="s">
        <v>14</v>
      </c>
      <c r="W17" s="705">
        <f>J17</f>
        <v>100</v>
      </c>
      <c r="X17" s="1351"/>
      <c r="Y17" s="3745"/>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5"/>
      <c r="Q18" s="1348"/>
      <c r="R18" s="704"/>
      <c r="S18" s="705"/>
      <c r="T18" s="704"/>
      <c r="U18" s="705"/>
      <c r="V18" s="704"/>
      <c r="W18" s="705"/>
      <c r="X18" s="1351"/>
      <c r="Y18" s="3745"/>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5"/>
      <c r="Q19" s="1348" t="str">
        <f>B19</f>
        <v>公共配套设施</v>
      </c>
      <c r="R19" s="704" t="s">
        <v>14</v>
      </c>
      <c r="S19" s="705">
        <f>F19</f>
        <v>100</v>
      </c>
      <c r="T19" s="704" t="s">
        <v>14</v>
      </c>
      <c r="U19" s="705">
        <f>H19</f>
        <v>100</v>
      </c>
      <c r="V19" s="704" t="s">
        <v>14</v>
      </c>
      <c r="W19" s="705">
        <f>J19</f>
        <v>100</v>
      </c>
      <c r="X19" s="1351"/>
      <c r="Y19" s="3745"/>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5"/>
      <c r="Q20" s="1348"/>
      <c r="R20" s="704"/>
      <c r="S20" s="705"/>
      <c r="T20" s="704"/>
      <c r="U20" s="705"/>
      <c r="V20" s="704"/>
      <c r="W20" s="705"/>
      <c r="X20" s="1351"/>
      <c r="Y20" s="3745"/>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5"/>
      <c r="Q21" s="1348" t="str">
        <f>B21</f>
        <v>基础设施水平</v>
      </c>
      <c r="R21" s="704" t="s">
        <v>14</v>
      </c>
      <c r="S21" s="705">
        <f>F21</f>
        <v>100</v>
      </c>
      <c r="T21" s="704" t="s">
        <v>14</v>
      </c>
      <c r="U21" s="705">
        <f>H21</f>
        <v>100</v>
      </c>
      <c r="V21" s="704" t="s">
        <v>14</v>
      </c>
      <c r="W21" s="705">
        <f>J21</f>
        <v>100</v>
      </c>
      <c r="X21" s="1351"/>
      <c r="Y21" s="374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5"/>
      <c r="Q22" s="1348"/>
      <c r="R22" s="704"/>
      <c r="S22" s="705"/>
      <c r="T22" s="704"/>
      <c r="U22" s="705"/>
      <c r="V22" s="704"/>
      <c r="W22" s="705"/>
      <c r="X22" s="1351"/>
      <c r="Y22" s="3745"/>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5"/>
      <c r="Q23" s="1348" t="str">
        <f>B23</f>
        <v>环境质量</v>
      </c>
      <c r="R23" s="704" t="s">
        <v>14</v>
      </c>
      <c r="S23" s="705">
        <f>F23</f>
        <v>100</v>
      </c>
      <c r="T23" s="704" t="s">
        <v>14</v>
      </c>
      <c r="U23" s="705">
        <f>H23</f>
        <v>100</v>
      </c>
      <c r="V23" s="704" t="s">
        <v>14</v>
      </c>
      <c r="W23" s="705">
        <f>J23</f>
        <v>100</v>
      </c>
      <c r="X23" s="1351"/>
      <c r="Y23" s="3745"/>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5"/>
      <c r="Q24" s="1348"/>
      <c r="R24" s="704"/>
      <c r="S24" s="705"/>
      <c r="T24" s="704"/>
      <c r="U24" s="705"/>
      <c r="V24" s="704"/>
      <c r="W24" s="705"/>
      <c r="X24" s="1351"/>
      <c r="Y24" s="3745"/>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5"/>
      <c r="Q25" s="1348">
        <f>B25</f>
        <v>111</v>
      </c>
      <c r="R25" s="704" t="s">
        <v>14</v>
      </c>
      <c r="S25" s="705">
        <f>F25</f>
        <v>100</v>
      </c>
      <c r="T25" s="704" t="s">
        <v>14</v>
      </c>
      <c r="U25" s="705">
        <f>H25</f>
        <v>100</v>
      </c>
      <c r="V25" s="704" t="s">
        <v>14</v>
      </c>
      <c r="W25" s="705">
        <f>J25</f>
        <v>100</v>
      </c>
      <c r="X25" s="1351"/>
      <c r="Y25" s="3745"/>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5"/>
      <c r="Q26" s="1348">
        <f t="shared" ref="Q26:Q40" si="11">B26</f>
        <v>111</v>
      </c>
      <c r="R26" s="704" t="s">
        <v>14</v>
      </c>
      <c r="S26" s="705">
        <f>F26</f>
        <v>100</v>
      </c>
      <c r="T26" s="704" t="s">
        <v>14</v>
      </c>
      <c r="U26" s="705">
        <f>H26</f>
        <v>100</v>
      </c>
      <c r="V26" s="704" t="s">
        <v>14</v>
      </c>
      <c r="W26" s="705">
        <f>J26</f>
        <v>100</v>
      </c>
      <c r="X26" s="1351"/>
      <c r="Y26" s="3745"/>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5"/>
      <c r="Q27" s="1339">
        <f t="shared" si="11"/>
        <v>111</v>
      </c>
      <c r="R27" s="700" t="s">
        <v>14</v>
      </c>
      <c r="S27" s="701">
        <f>F27</f>
        <v>100</v>
      </c>
      <c r="T27" s="700" t="s">
        <v>14</v>
      </c>
      <c r="U27" s="701">
        <f>H27</f>
        <v>100</v>
      </c>
      <c r="V27" s="700" t="s">
        <v>14</v>
      </c>
      <c r="W27" s="701">
        <f>J27</f>
        <v>100</v>
      </c>
      <c r="X27" s="702"/>
      <c r="Y27" s="3745"/>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5"/>
      <c r="Q28" s="1348">
        <f t="shared" si="11"/>
        <v>111</v>
      </c>
      <c r="R28" s="704" t="s">
        <v>14</v>
      </c>
      <c r="S28" s="705">
        <f t="shared" ref="S28:S40" si="12">F28</f>
        <v>100</v>
      </c>
      <c r="T28" s="704" t="s">
        <v>14</v>
      </c>
      <c r="U28" s="705">
        <f t="shared" ref="U28:U40" si="13">H28</f>
        <v>100</v>
      </c>
      <c r="V28" s="704" t="s">
        <v>14</v>
      </c>
      <c r="W28" s="705">
        <f t="shared" ref="W28:W40" si="14">J28</f>
        <v>100</v>
      </c>
      <c r="X28" s="1351"/>
      <c r="Y28" s="3745"/>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0" t="s">
        <v>1693</v>
      </c>
      <c r="Q29" s="1348" t="str">
        <f t="shared" si="11"/>
        <v>建筑类型</v>
      </c>
      <c r="R29" s="704" t="s">
        <v>14</v>
      </c>
      <c r="S29" s="705">
        <f t="shared" si="12"/>
        <v>100</v>
      </c>
      <c r="T29" s="704" t="s">
        <v>14</v>
      </c>
      <c r="U29" s="705">
        <f t="shared" si="13"/>
        <v>100</v>
      </c>
      <c r="V29" s="704" t="s">
        <v>14</v>
      </c>
      <c r="W29" s="705">
        <f t="shared" si="14"/>
        <v>100</v>
      </c>
      <c r="X29" s="1351"/>
      <c r="Y29" s="3749"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49"/>
      <c r="Q30" s="706" t="str">
        <f t="shared" si="11"/>
        <v>项目建筑规模</v>
      </c>
      <c r="R30" s="707" t="s">
        <v>14</v>
      </c>
      <c r="S30" s="708" t="e">
        <f t="shared" si="12"/>
        <v>#N/A</v>
      </c>
      <c r="T30" s="707" t="s">
        <v>14</v>
      </c>
      <c r="U30" s="708" t="e">
        <f t="shared" si="13"/>
        <v>#N/A</v>
      </c>
      <c r="V30" s="707" t="s">
        <v>14</v>
      </c>
      <c r="W30" s="708" t="e">
        <f t="shared" si="14"/>
        <v>#N/A</v>
      </c>
      <c r="X30" s="709"/>
      <c r="Y30" s="3749"/>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49"/>
      <c r="Q31" s="1348" t="str">
        <f t="shared" si="11"/>
        <v>建筑结构</v>
      </c>
      <c r="R31" s="704" t="s">
        <v>14</v>
      </c>
      <c r="S31" s="705">
        <f t="shared" si="12"/>
        <v>100</v>
      </c>
      <c r="T31" s="704" t="s">
        <v>14</v>
      </c>
      <c r="U31" s="705">
        <f t="shared" si="13"/>
        <v>100</v>
      </c>
      <c r="V31" s="704" t="s">
        <v>14</v>
      </c>
      <c r="W31" s="705">
        <f t="shared" si="14"/>
        <v>100</v>
      </c>
      <c r="X31" s="1351"/>
      <c r="Y31" s="3749"/>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49"/>
      <c r="Q32" s="1348" t="str">
        <f t="shared" si="11"/>
        <v>公共部分装修</v>
      </c>
      <c r="R32" s="704" t="s">
        <v>14</v>
      </c>
      <c r="S32" s="705">
        <f t="shared" si="12"/>
        <v>100</v>
      </c>
      <c r="T32" s="704" t="s">
        <v>14</v>
      </c>
      <c r="U32" s="705">
        <f t="shared" si="13"/>
        <v>100</v>
      </c>
      <c r="V32" s="704" t="s">
        <v>14</v>
      </c>
      <c r="W32" s="705">
        <f t="shared" si="14"/>
        <v>100</v>
      </c>
      <c r="X32" s="1351"/>
      <c r="Y32" s="3749"/>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49"/>
      <c r="Q33" s="1348" t="str">
        <f t="shared" si="11"/>
        <v>成新度</v>
      </c>
      <c r="R33" s="704" t="s">
        <v>14</v>
      </c>
      <c r="S33" s="705" t="e">
        <f t="shared" si="12"/>
        <v>#N/A</v>
      </c>
      <c r="T33" s="704" t="s">
        <v>14</v>
      </c>
      <c r="U33" s="705" t="e">
        <f t="shared" si="13"/>
        <v>#N/A</v>
      </c>
      <c r="V33" s="704" t="s">
        <v>14</v>
      </c>
      <c r="W33" s="705" t="e">
        <f t="shared" si="14"/>
        <v>#N/A</v>
      </c>
      <c r="X33" s="1351"/>
      <c r="Y33" s="3749"/>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49"/>
      <c r="Q34" s="1339" t="str">
        <f t="shared" si="11"/>
        <v>物业管理</v>
      </c>
      <c r="R34" s="700" t="s">
        <v>14</v>
      </c>
      <c r="S34" s="701">
        <f t="shared" si="12"/>
        <v>100</v>
      </c>
      <c r="T34" s="700" t="s">
        <v>14</v>
      </c>
      <c r="U34" s="701">
        <f t="shared" si="13"/>
        <v>100</v>
      </c>
      <c r="V34" s="700" t="s">
        <v>14</v>
      </c>
      <c r="W34" s="701">
        <f t="shared" si="14"/>
        <v>100</v>
      </c>
      <c r="X34" s="702"/>
      <c r="Y34" s="3749"/>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49" t="s">
        <v>1693</v>
      </c>
      <c r="Q35" s="1348" t="str">
        <f t="shared" si="11"/>
        <v>市政基础设施</v>
      </c>
      <c r="R35" s="704" t="s">
        <v>14</v>
      </c>
      <c r="S35" s="705">
        <f t="shared" si="12"/>
        <v>100</v>
      </c>
      <c r="T35" s="704" t="s">
        <v>14</v>
      </c>
      <c r="U35" s="705">
        <f t="shared" si="13"/>
        <v>100</v>
      </c>
      <c r="V35" s="704" t="s">
        <v>14</v>
      </c>
      <c r="W35" s="705">
        <f t="shared" si="14"/>
        <v>100</v>
      </c>
      <c r="X35" s="1351"/>
      <c r="Y35" s="3749"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49"/>
      <c r="Q36" s="1348" t="str">
        <f t="shared" si="11"/>
        <v>内部装修</v>
      </c>
      <c r="R36" s="704" t="s">
        <v>14</v>
      </c>
      <c r="S36" s="705">
        <f t="shared" si="12"/>
        <v>100</v>
      </c>
      <c r="T36" s="704" t="s">
        <v>14</v>
      </c>
      <c r="U36" s="705">
        <f t="shared" si="13"/>
        <v>100</v>
      </c>
      <c r="V36" s="704" t="s">
        <v>14</v>
      </c>
      <c r="W36" s="705">
        <f t="shared" si="14"/>
        <v>100</v>
      </c>
      <c r="X36" s="1351"/>
      <c r="Y36" s="3749"/>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49"/>
      <c r="Q37" s="1348" t="str">
        <f t="shared" si="11"/>
        <v>内部装修状况</v>
      </c>
      <c r="R37" s="704" t="s">
        <v>14</v>
      </c>
      <c r="S37" s="705">
        <f t="shared" si="12"/>
        <v>100</v>
      </c>
      <c r="T37" s="704" t="s">
        <v>14</v>
      </c>
      <c r="U37" s="705">
        <f t="shared" si="13"/>
        <v>100</v>
      </c>
      <c r="V37" s="704" t="s">
        <v>14</v>
      </c>
      <c r="W37" s="705">
        <f t="shared" si="14"/>
        <v>100</v>
      </c>
      <c r="X37" s="1351"/>
      <c r="Y37" s="3749"/>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49"/>
      <c r="Q38" s="706">
        <f t="shared" si="11"/>
        <v>111</v>
      </c>
      <c r="R38" s="707" t="s">
        <v>14</v>
      </c>
      <c r="S38" s="708">
        <f t="shared" si="12"/>
        <v>100</v>
      </c>
      <c r="T38" s="707" t="s">
        <v>14</v>
      </c>
      <c r="U38" s="708">
        <f t="shared" si="13"/>
        <v>100</v>
      </c>
      <c r="V38" s="707" t="s">
        <v>14</v>
      </c>
      <c r="W38" s="708">
        <f t="shared" si="14"/>
        <v>100</v>
      </c>
      <c r="X38" s="709"/>
      <c r="Y38" s="3749"/>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49"/>
      <c r="Q39" s="1348">
        <f t="shared" si="11"/>
        <v>111</v>
      </c>
      <c r="R39" s="704" t="s">
        <v>14</v>
      </c>
      <c r="S39" s="705">
        <f t="shared" si="12"/>
        <v>100</v>
      </c>
      <c r="T39" s="704" t="s">
        <v>14</v>
      </c>
      <c r="U39" s="705">
        <f t="shared" si="13"/>
        <v>100</v>
      </c>
      <c r="V39" s="704" t="s">
        <v>14</v>
      </c>
      <c r="W39" s="705">
        <f t="shared" si="14"/>
        <v>100</v>
      </c>
      <c r="X39" s="1351"/>
      <c r="Y39" s="3749"/>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0"/>
      <c r="Q40" s="1348">
        <f t="shared" si="11"/>
        <v>111</v>
      </c>
      <c r="R40" s="704" t="s">
        <v>14</v>
      </c>
      <c r="S40" s="705">
        <f t="shared" si="12"/>
        <v>100</v>
      </c>
      <c r="T40" s="704" t="s">
        <v>14</v>
      </c>
      <c r="U40" s="705">
        <f t="shared" si="13"/>
        <v>100</v>
      </c>
      <c r="V40" s="704" t="s">
        <v>14</v>
      </c>
      <c r="W40" s="705">
        <f t="shared" si="14"/>
        <v>100</v>
      </c>
      <c r="X40" s="1351"/>
      <c r="Y40" s="3750"/>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1" t="str">
        <f>A41</f>
        <v>成交单价（元/平方米）</v>
      </c>
      <c r="Q41" s="3751"/>
      <c r="R41" s="3752">
        <f>E41</f>
        <v>0</v>
      </c>
      <c r="S41" s="3752"/>
      <c r="T41" s="3752">
        <f>G41</f>
        <v>0</v>
      </c>
      <c r="U41" s="3752"/>
      <c r="V41" s="3752">
        <f>I41</f>
        <v>0</v>
      </c>
      <c r="W41" s="3752"/>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16" t="s">
        <v>1768</v>
      </c>
      <c r="S4" s="3717"/>
      <c r="T4" s="3716" t="s">
        <v>1769</v>
      </c>
      <c r="U4" s="3717"/>
      <c r="V4" s="3713" t="s">
        <v>1770</v>
      </c>
      <c r="W4" s="3713"/>
      <c r="X4" s="1351"/>
      <c r="Y4" s="3716" t="s">
        <v>1772</v>
      </c>
      <c r="Z4" s="3717"/>
      <c r="AA4" s="3710" t="s">
        <v>1768</v>
      </c>
      <c r="AB4" s="3711" t="s">
        <v>1769</v>
      </c>
      <c r="AC4" s="3710" t="s">
        <v>1770</v>
      </c>
    </row>
    <row r="5" spans="1:29" ht="15">
      <c r="A5" s="358"/>
      <c r="B5" s="359"/>
      <c r="C5" s="3722" t="s">
        <v>1670</v>
      </c>
      <c r="D5" s="3723"/>
      <c r="E5" s="3720" t="s">
        <v>1671</v>
      </c>
      <c r="F5" s="3721"/>
      <c r="G5" s="3722" t="s">
        <v>1672</v>
      </c>
      <c r="H5" s="3723"/>
      <c r="I5" s="3722" t="s">
        <v>1673</v>
      </c>
      <c r="J5" s="3723"/>
      <c r="K5" s="559"/>
      <c r="L5" s="2711"/>
      <c r="M5" s="2712"/>
      <c r="N5" s="2712"/>
      <c r="O5" s="2712"/>
      <c r="P5" s="3735"/>
      <c r="Q5" s="3736"/>
      <c r="R5" s="3718"/>
      <c r="S5" s="3719"/>
      <c r="T5" s="3718"/>
      <c r="U5" s="3719"/>
      <c r="V5" s="3713"/>
      <c r="W5" s="3713"/>
      <c r="X5" s="1351"/>
      <c r="Y5" s="3718"/>
      <c r="Z5" s="3719"/>
      <c r="AA5" s="3711"/>
      <c r="AB5" s="3711"/>
      <c r="AC5" s="3711"/>
    </row>
    <row r="6" spans="1:29" ht="15.75" thickBot="1">
      <c r="A6" s="360"/>
      <c r="B6" s="361"/>
      <c r="C6" s="3724" t="s">
        <v>1674</v>
      </c>
      <c r="D6" s="3725"/>
      <c r="E6" s="3726" t="s">
        <v>1674</v>
      </c>
      <c r="F6" s="3727"/>
      <c r="G6" s="3724" t="s">
        <v>1674</v>
      </c>
      <c r="H6" s="3725"/>
      <c r="I6" s="3724" t="s">
        <v>1674</v>
      </c>
      <c r="J6" s="3725"/>
      <c r="K6" s="559" t="s">
        <v>1675</v>
      </c>
      <c r="L6" s="2711"/>
      <c r="M6" s="2712"/>
      <c r="N6" s="2712"/>
      <c r="O6" s="2712"/>
      <c r="P6" s="3737"/>
      <c r="Q6" s="3738"/>
      <c r="R6" s="3718"/>
      <c r="S6" s="3719"/>
      <c r="T6" s="3739"/>
      <c r="U6" s="3740"/>
      <c r="V6" s="3713"/>
      <c r="W6" s="3713"/>
      <c r="X6" s="1351"/>
      <c r="Y6" s="3739"/>
      <c r="Z6" s="3740"/>
      <c r="AA6" s="3712"/>
      <c r="AB6" s="3712"/>
      <c r="AC6" s="3712"/>
    </row>
    <row r="7" spans="1:29" s="108" customFormat="1" ht="15.75" thickBot="1">
      <c r="A7" s="362" t="s">
        <v>1676</v>
      </c>
      <c r="B7" s="363"/>
      <c r="C7" s="364">
        <f>'数据-取费表'!B2</f>
        <v>45467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4" t="s">
        <v>1677</v>
      </c>
      <c r="Q7" s="3741"/>
      <c r="R7" s="700" t="s">
        <v>14</v>
      </c>
      <c r="S7" s="701">
        <f t="shared" ref="S7:S14" si="0">F7</f>
        <v>0</v>
      </c>
      <c r="T7" s="700" t="s">
        <v>14</v>
      </c>
      <c r="U7" s="701">
        <f t="shared" ref="U7:U14" si="1">H7</f>
        <v>0</v>
      </c>
      <c r="V7" s="700" t="s">
        <v>14</v>
      </c>
      <c r="W7" s="701">
        <f t="shared" ref="W7:W14"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4" t="s">
        <v>1680</v>
      </c>
      <c r="Q8" s="3715"/>
      <c r="R8" s="700" t="s">
        <v>14</v>
      </c>
      <c r="S8" s="701">
        <f t="shared" si="0"/>
        <v>100</v>
      </c>
      <c r="T8" s="700" t="s">
        <v>14</v>
      </c>
      <c r="U8" s="701">
        <f t="shared" si="1"/>
        <v>100</v>
      </c>
      <c r="V8" s="700" t="s">
        <v>14</v>
      </c>
      <c r="W8" s="701">
        <f t="shared" si="2"/>
        <v>100</v>
      </c>
      <c r="X8" s="702"/>
      <c r="Y8" s="3714" t="s">
        <v>1680</v>
      </c>
      <c r="Z8" s="3715"/>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1" t="s">
        <v>1683</v>
      </c>
      <c r="Q9" s="1339" t="str">
        <f t="shared" ref="Q9:Q14" si="6">B9</f>
        <v>用途</v>
      </c>
      <c r="R9" s="700" t="s">
        <v>14</v>
      </c>
      <c r="S9" s="701">
        <f t="shared" si="0"/>
        <v>100</v>
      </c>
      <c r="T9" s="700" t="s">
        <v>14</v>
      </c>
      <c r="U9" s="701">
        <f t="shared" si="1"/>
        <v>100</v>
      </c>
      <c r="V9" s="700" t="s">
        <v>14</v>
      </c>
      <c r="W9" s="701">
        <f t="shared" si="2"/>
        <v>100</v>
      </c>
      <c r="X9" s="702"/>
      <c r="Y9" s="3676"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1"/>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1"/>
      <c r="Q11" s="1339">
        <f t="shared" si="6"/>
        <v>111</v>
      </c>
      <c r="R11" s="700" t="s">
        <v>14</v>
      </c>
      <c r="S11" s="701">
        <f t="shared" si="0"/>
        <v>100</v>
      </c>
      <c r="T11" s="700" t="s">
        <v>14</v>
      </c>
      <c r="U11" s="701">
        <f t="shared" si="1"/>
        <v>100</v>
      </c>
      <c r="V11" s="700" t="s">
        <v>14</v>
      </c>
      <c r="W11" s="701">
        <f t="shared" si="2"/>
        <v>100</v>
      </c>
      <c r="X11" s="702"/>
      <c r="Y11" s="367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1"/>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1"/>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4" t="s">
        <v>1688</v>
      </c>
      <c r="Q14" s="1348" t="str">
        <f t="shared" si="6"/>
        <v>交通便捷度</v>
      </c>
      <c r="R14" s="704" t="s">
        <v>14</v>
      </c>
      <c r="S14" s="705">
        <f t="shared" si="0"/>
        <v>100</v>
      </c>
      <c r="T14" s="704" t="s">
        <v>14</v>
      </c>
      <c r="U14" s="705">
        <f t="shared" si="1"/>
        <v>100</v>
      </c>
      <c r="V14" s="704" t="s">
        <v>14</v>
      </c>
      <c r="W14" s="705">
        <f t="shared" si="2"/>
        <v>100</v>
      </c>
      <c r="X14" s="1351"/>
      <c r="Y14" s="3744"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5"/>
      <c r="Q15" s="1348"/>
      <c r="R15" s="704"/>
      <c r="S15" s="705"/>
      <c r="T15" s="704"/>
      <c r="U15" s="705"/>
      <c r="V15" s="704"/>
      <c r="W15" s="705"/>
      <c r="X15" s="1351"/>
      <c r="Y15" s="3745"/>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5"/>
      <c r="Q16" s="1348" t="str">
        <f>B16</f>
        <v>公共配套设施</v>
      </c>
      <c r="R16" s="704" t="s">
        <v>14</v>
      </c>
      <c r="S16" s="705">
        <f>F16</f>
        <v>100</v>
      </c>
      <c r="T16" s="704" t="s">
        <v>14</v>
      </c>
      <c r="U16" s="705">
        <f>H16</f>
        <v>100</v>
      </c>
      <c r="V16" s="704" t="s">
        <v>14</v>
      </c>
      <c r="W16" s="705">
        <f>J16</f>
        <v>100</v>
      </c>
      <c r="X16" s="1351"/>
      <c r="Y16" s="3745"/>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5"/>
      <c r="Q17" s="1348"/>
      <c r="R17" s="704"/>
      <c r="S17" s="705"/>
      <c r="T17" s="704"/>
      <c r="U17" s="705"/>
      <c r="V17" s="704"/>
      <c r="W17" s="705"/>
      <c r="X17" s="1351"/>
      <c r="Y17" s="3745"/>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5"/>
      <c r="Q18" s="1348" t="str">
        <f>B18</f>
        <v>基础设施水平</v>
      </c>
      <c r="R18" s="704" t="s">
        <v>14</v>
      </c>
      <c r="S18" s="705">
        <f>F18</f>
        <v>100</v>
      </c>
      <c r="T18" s="704" t="s">
        <v>14</v>
      </c>
      <c r="U18" s="705">
        <f>H18</f>
        <v>100</v>
      </c>
      <c r="V18" s="704" t="s">
        <v>14</v>
      </c>
      <c r="W18" s="705">
        <f>J18</f>
        <v>100</v>
      </c>
      <c r="X18" s="1351"/>
      <c r="Y18" s="3745"/>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5"/>
      <c r="Q19" s="1348"/>
      <c r="R19" s="704"/>
      <c r="S19" s="705"/>
      <c r="T19" s="704"/>
      <c r="U19" s="705"/>
      <c r="V19" s="704"/>
      <c r="W19" s="705"/>
      <c r="X19" s="1351"/>
      <c r="Y19" s="3745"/>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5"/>
      <c r="Q20" s="1348" t="str">
        <f>B20</f>
        <v>自然及人文环境</v>
      </c>
      <c r="R20" s="704" t="s">
        <v>14</v>
      </c>
      <c r="S20" s="705">
        <f>F20</f>
        <v>100</v>
      </c>
      <c r="T20" s="704" t="s">
        <v>14</v>
      </c>
      <c r="U20" s="705">
        <f>H20</f>
        <v>100</v>
      </c>
      <c r="V20" s="704" t="s">
        <v>14</v>
      </c>
      <c r="W20" s="705">
        <f>J20</f>
        <v>100</v>
      </c>
      <c r="X20" s="1351"/>
      <c r="Y20" s="3745"/>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5"/>
      <c r="Q21" s="1348"/>
      <c r="R21" s="704"/>
      <c r="S21" s="705"/>
      <c r="T21" s="704"/>
      <c r="U21" s="705"/>
      <c r="V21" s="704"/>
      <c r="W21" s="705"/>
      <c r="X21" s="1351"/>
      <c r="Y21" s="3745"/>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5"/>
      <c r="Q22" s="1348" t="str">
        <f>B22</f>
        <v>楼层</v>
      </c>
      <c r="R22" s="704" t="s">
        <v>14</v>
      </c>
      <c r="S22" s="705">
        <f>F22</f>
        <v>100</v>
      </c>
      <c r="T22" s="704" t="s">
        <v>14</v>
      </c>
      <c r="U22" s="705">
        <f>H22</f>
        <v>100</v>
      </c>
      <c r="V22" s="704" t="s">
        <v>14</v>
      </c>
      <c r="W22" s="705">
        <f>J22</f>
        <v>100</v>
      </c>
      <c r="X22" s="1351"/>
      <c r="Y22" s="3745"/>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5"/>
      <c r="Q23" s="1348">
        <f>B23</f>
        <v>111</v>
      </c>
      <c r="R23" s="704" t="s">
        <v>14</v>
      </c>
      <c r="S23" s="705">
        <f>F23</f>
        <v>100</v>
      </c>
      <c r="T23" s="704" t="s">
        <v>14</v>
      </c>
      <c r="U23" s="705">
        <f>H23</f>
        <v>100</v>
      </c>
      <c r="V23" s="704" t="s">
        <v>14</v>
      </c>
      <c r="W23" s="705">
        <f>J23</f>
        <v>100</v>
      </c>
      <c r="X23" s="1351"/>
      <c r="Y23" s="3745"/>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5"/>
      <c r="Q24" s="1348">
        <f t="shared" ref="Q24:Q36" si="11">B24</f>
        <v>111</v>
      </c>
      <c r="R24" s="704" t="s">
        <v>14</v>
      </c>
      <c r="S24" s="705">
        <f>F24</f>
        <v>100</v>
      </c>
      <c r="T24" s="704" t="s">
        <v>14</v>
      </c>
      <c r="U24" s="705">
        <f>H24</f>
        <v>100</v>
      </c>
      <c r="V24" s="704" t="s">
        <v>14</v>
      </c>
      <c r="W24" s="705">
        <f>J24</f>
        <v>100</v>
      </c>
      <c r="X24" s="1351"/>
      <c r="Y24" s="3745"/>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5"/>
      <c r="Q25" s="1339">
        <f t="shared" si="11"/>
        <v>111</v>
      </c>
      <c r="R25" s="700" t="s">
        <v>14</v>
      </c>
      <c r="S25" s="701">
        <f>F25</f>
        <v>100</v>
      </c>
      <c r="T25" s="700" t="s">
        <v>14</v>
      </c>
      <c r="U25" s="701">
        <f>H25</f>
        <v>100</v>
      </c>
      <c r="V25" s="700" t="s">
        <v>14</v>
      </c>
      <c r="W25" s="701">
        <f>J25</f>
        <v>100</v>
      </c>
      <c r="X25" s="702"/>
      <c r="Y25" s="3745"/>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0"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49"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49"/>
      <c r="Q27" s="706" t="str">
        <f t="shared" si="11"/>
        <v>项目停车位配比</v>
      </c>
      <c r="R27" s="707" t="s">
        <v>14</v>
      </c>
      <c r="S27" s="708">
        <f t="shared" si="12"/>
        <v>100</v>
      </c>
      <c r="T27" s="707" t="s">
        <v>14</v>
      </c>
      <c r="U27" s="708">
        <f t="shared" si="13"/>
        <v>100</v>
      </c>
      <c r="V27" s="707" t="s">
        <v>14</v>
      </c>
      <c r="W27" s="708">
        <f t="shared" si="14"/>
        <v>100</v>
      </c>
      <c r="X27" s="709"/>
      <c r="Y27" s="3749"/>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9"/>
      <c r="Q28" s="1348" t="str">
        <f t="shared" si="11"/>
        <v>公共部分装修</v>
      </c>
      <c r="R28" s="704" t="s">
        <v>14</v>
      </c>
      <c r="S28" s="705">
        <f t="shared" si="12"/>
        <v>100</v>
      </c>
      <c r="T28" s="704" t="s">
        <v>14</v>
      </c>
      <c r="U28" s="705">
        <f t="shared" si="13"/>
        <v>100</v>
      </c>
      <c r="V28" s="704" t="s">
        <v>14</v>
      </c>
      <c r="W28" s="705">
        <f t="shared" si="14"/>
        <v>100</v>
      </c>
      <c r="X28" s="1351"/>
      <c r="Y28" s="3749"/>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9"/>
      <c r="Q29" s="1348" t="str">
        <f t="shared" si="11"/>
        <v>成新率</v>
      </c>
      <c r="R29" s="704" t="s">
        <v>14</v>
      </c>
      <c r="S29" s="705" t="e">
        <f t="shared" si="12"/>
        <v>#N/A</v>
      </c>
      <c r="T29" s="704" t="s">
        <v>14</v>
      </c>
      <c r="U29" s="705" t="e">
        <f t="shared" si="13"/>
        <v>#N/A</v>
      </c>
      <c r="V29" s="704" t="s">
        <v>14</v>
      </c>
      <c r="W29" s="705" t="e">
        <f t="shared" si="14"/>
        <v>#N/A</v>
      </c>
      <c r="X29" s="1351"/>
      <c r="Y29" s="3749"/>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49"/>
      <c r="Q30" s="1348" t="str">
        <f t="shared" si="11"/>
        <v>物业等级</v>
      </c>
      <c r="R30" s="704" t="s">
        <v>14</v>
      </c>
      <c r="S30" s="705">
        <f t="shared" si="12"/>
        <v>100</v>
      </c>
      <c r="T30" s="704" t="s">
        <v>14</v>
      </c>
      <c r="U30" s="705">
        <f t="shared" si="13"/>
        <v>100</v>
      </c>
      <c r="V30" s="704" t="s">
        <v>14</v>
      </c>
      <c r="W30" s="705">
        <f t="shared" si="14"/>
        <v>100</v>
      </c>
      <c r="X30" s="1351"/>
      <c r="Y30" s="3749"/>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9"/>
      <c r="Q31" s="1339" t="str">
        <f t="shared" si="11"/>
        <v>停车位面积</v>
      </c>
      <c r="R31" s="700" t="s">
        <v>14</v>
      </c>
      <c r="S31" s="701" t="e">
        <f t="shared" si="12"/>
        <v>#N/A</v>
      </c>
      <c r="T31" s="700" t="s">
        <v>14</v>
      </c>
      <c r="U31" s="701" t="e">
        <f t="shared" si="13"/>
        <v>#N/A</v>
      </c>
      <c r="V31" s="700" t="s">
        <v>14</v>
      </c>
      <c r="W31" s="701" t="e">
        <f t="shared" si="14"/>
        <v>#N/A</v>
      </c>
      <c r="X31" s="702"/>
      <c r="Y31" s="3749"/>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9" t="s">
        <v>1693</v>
      </c>
      <c r="Q32" s="1348" t="str">
        <f t="shared" si="11"/>
        <v>车位类型</v>
      </c>
      <c r="R32" s="704" t="s">
        <v>14</v>
      </c>
      <c r="S32" s="705">
        <f t="shared" si="12"/>
        <v>100</v>
      </c>
      <c r="T32" s="704" t="s">
        <v>14</v>
      </c>
      <c r="U32" s="705">
        <f t="shared" si="13"/>
        <v>100</v>
      </c>
      <c r="V32" s="704" t="s">
        <v>14</v>
      </c>
      <c r="W32" s="705">
        <f t="shared" si="14"/>
        <v>100</v>
      </c>
      <c r="X32" s="1351"/>
      <c r="Y32" s="3749"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9"/>
      <c r="Q33" s="1348" t="str">
        <f t="shared" si="11"/>
        <v>是否直接入户</v>
      </c>
      <c r="R33" s="704" t="s">
        <v>14</v>
      </c>
      <c r="S33" s="705">
        <f t="shared" si="12"/>
        <v>100</v>
      </c>
      <c r="T33" s="704" t="s">
        <v>14</v>
      </c>
      <c r="U33" s="705">
        <f t="shared" si="13"/>
        <v>100</v>
      </c>
      <c r="V33" s="704" t="s">
        <v>14</v>
      </c>
      <c r="W33" s="705">
        <f t="shared" si="14"/>
        <v>100</v>
      </c>
      <c r="X33" s="1351"/>
      <c r="Y33" s="3749"/>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9"/>
      <c r="Q34" s="1348">
        <f t="shared" si="11"/>
        <v>111</v>
      </c>
      <c r="R34" s="704" t="s">
        <v>14</v>
      </c>
      <c r="S34" s="705">
        <f t="shared" si="12"/>
        <v>100</v>
      </c>
      <c r="T34" s="704" t="s">
        <v>14</v>
      </c>
      <c r="U34" s="705">
        <f t="shared" si="13"/>
        <v>100</v>
      </c>
      <c r="V34" s="704" t="s">
        <v>14</v>
      </c>
      <c r="W34" s="705">
        <f t="shared" si="14"/>
        <v>100</v>
      </c>
      <c r="X34" s="1351"/>
      <c r="Y34" s="3749"/>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9"/>
      <c r="Q35" s="706">
        <f t="shared" si="11"/>
        <v>111</v>
      </c>
      <c r="R35" s="707" t="s">
        <v>14</v>
      </c>
      <c r="S35" s="708">
        <f t="shared" si="12"/>
        <v>100</v>
      </c>
      <c r="T35" s="707" t="s">
        <v>14</v>
      </c>
      <c r="U35" s="708">
        <f t="shared" si="13"/>
        <v>100</v>
      </c>
      <c r="V35" s="707" t="s">
        <v>14</v>
      </c>
      <c r="W35" s="708">
        <f t="shared" si="14"/>
        <v>100</v>
      </c>
      <c r="X35" s="709"/>
      <c r="Y35" s="3749"/>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9"/>
      <c r="Q36" s="1348">
        <f t="shared" si="11"/>
        <v>111</v>
      </c>
      <c r="R36" s="704" t="s">
        <v>14</v>
      </c>
      <c r="S36" s="705">
        <f t="shared" si="12"/>
        <v>100</v>
      </c>
      <c r="T36" s="704" t="s">
        <v>14</v>
      </c>
      <c r="U36" s="705">
        <f t="shared" si="13"/>
        <v>100</v>
      </c>
      <c r="V36" s="704" t="s">
        <v>14</v>
      </c>
      <c r="W36" s="705">
        <f t="shared" si="14"/>
        <v>100</v>
      </c>
      <c r="X36" s="1351"/>
      <c r="Y36" s="3749"/>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1" t="str">
        <f>A37</f>
        <v>成交单价</v>
      </c>
      <c r="Q37" s="3751"/>
      <c r="R37" s="3752">
        <f>E37</f>
        <v>0</v>
      </c>
      <c r="S37" s="3752"/>
      <c r="T37" s="3752">
        <f>G37</f>
        <v>0</v>
      </c>
      <c r="U37" s="3752"/>
      <c r="V37" s="3752">
        <f>I37</f>
        <v>0</v>
      </c>
      <c r="W37" s="3752"/>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3" t="str">
        <f>A39</f>
        <v>估价对象XX用房的比较价值（楼面单价，元/平方米）</v>
      </c>
      <c r="Q39" s="3754"/>
      <c r="R39" s="3791" t="e">
        <f>IF(F1="售价",ROUND(IF(D38="简单平均",AVERAGE(R38:W38),R38*F38+T38*H38+V38*J38),0),ROUND(IF(D38="简单平均",AVERAGE(R38:V38),R38*F38+T38*H38+V38*J38),1))</f>
        <v>#DIV/0!</v>
      </c>
      <c r="S39" s="3791"/>
      <c r="T39" s="3791"/>
      <c r="U39" s="3791"/>
      <c r="V39" s="3791"/>
      <c r="W39" s="3791"/>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16" t="s">
        <v>1768</v>
      </c>
      <c r="S4" s="3717"/>
      <c r="T4" s="3716" t="s">
        <v>1769</v>
      </c>
      <c r="U4" s="3717"/>
      <c r="V4" s="3713" t="s">
        <v>1770</v>
      </c>
      <c r="W4" s="3713"/>
      <c r="X4" s="1351"/>
      <c r="Y4" s="3716" t="s">
        <v>1772</v>
      </c>
      <c r="Z4" s="3717"/>
      <c r="AA4" s="3710" t="s">
        <v>1768</v>
      </c>
      <c r="AB4" s="3711" t="s">
        <v>1769</v>
      </c>
      <c r="AC4" s="3710" t="s">
        <v>1770</v>
      </c>
    </row>
    <row r="5" spans="1:29" ht="15">
      <c r="A5" s="358"/>
      <c r="B5" s="359"/>
      <c r="C5" s="3722" t="s">
        <v>1670</v>
      </c>
      <c r="D5" s="3723"/>
      <c r="E5" s="3720" t="s">
        <v>1671</v>
      </c>
      <c r="F5" s="3721"/>
      <c r="G5" s="3722" t="s">
        <v>1672</v>
      </c>
      <c r="H5" s="3723"/>
      <c r="I5" s="3722" t="s">
        <v>1673</v>
      </c>
      <c r="J5" s="3723"/>
      <c r="K5" s="559"/>
      <c r="L5" s="2711"/>
      <c r="M5" s="2712"/>
      <c r="N5" s="2712"/>
      <c r="O5" s="2712"/>
      <c r="P5" s="3735"/>
      <c r="Q5" s="3736"/>
      <c r="R5" s="3718"/>
      <c r="S5" s="3719"/>
      <c r="T5" s="3718"/>
      <c r="U5" s="3719"/>
      <c r="V5" s="3713"/>
      <c r="W5" s="3713"/>
      <c r="X5" s="1351"/>
      <c r="Y5" s="3718"/>
      <c r="Z5" s="3719"/>
      <c r="AA5" s="3711"/>
      <c r="AB5" s="3711"/>
      <c r="AC5" s="3711"/>
    </row>
    <row r="6" spans="1:29" ht="15.75" thickBot="1">
      <c r="A6" s="360"/>
      <c r="B6" s="361"/>
      <c r="C6" s="3724" t="s">
        <v>1674</v>
      </c>
      <c r="D6" s="3725"/>
      <c r="E6" s="3726" t="s">
        <v>1674</v>
      </c>
      <c r="F6" s="3727"/>
      <c r="G6" s="3724" t="s">
        <v>1674</v>
      </c>
      <c r="H6" s="3725"/>
      <c r="I6" s="3724" t="s">
        <v>1674</v>
      </c>
      <c r="J6" s="3725"/>
      <c r="K6" s="559" t="s">
        <v>1675</v>
      </c>
      <c r="L6" s="2711"/>
      <c r="M6" s="2712"/>
      <c r="N6" s="2712"/>
      <c r="O6" s="2712"/>
      <c r="P6" s="3737"/>
      <c r="Q6" s="3738"/>
      <c r="R6" s="3718"/>
      <c r="S6" s="3719"/>
      <c r="T6" s="3739"/>
      <c r="U6" s="3740"/>
      <c r="V6" s="3713"/>
      <c r="W6" s="3713"/>
      <c r="X6" s="1351"/>
      <c r="Y6" s="3739"/>
      <c r="Z6" s="3740"/>
      <c r="AA6" s="3712"/>
      <c r="AB6" s="3712"/>
      <c r="AC6" s="3712"/>
    </row>
    <row r="7" spans="1:29" s="108" customFormat="1" ht="15.75" thickBot="1">
      <c r="A7" s="362" t="s">
        <v>1676</v>
      </c>
      <c r="B7" s="363"/>
      <c r="C7" s="364">
        <f>'数据-取费表'!B2</f>
        <v>45467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4" t="s">
        <v>1677</v>
      </c>
      <c r="Q7" s="3741"/>
      <c r="R7" s="700" t="s">
        <v>14</v>
      </c>
      <c r="S7" s="701">
        <f t="shared" ref="S7:S14" si="0">F7</f>
        <v>0</v>
      </c>
      <c r="T7" s="700" t="s">
        <v>14</v>
      </c>
      <c r="U7" s="701">
        <f t="shared" ref="U7:U14" si="1">H7</f>
        <v>0</v>
      </c>
      <c r="V7" s="700" t="s">
        <v>14</v>
      </c>
      <c r="W7" s="701">
        <f t="shared" ref="W7:W14" si="2">J7</f>
        <v>0</v>
      </c>
      <c r="X7" s="702"/>
      <c r="Y7" s="3714" t="s">
        <v>1677</v>
      </c>
      <c r="Z7" s="3715"/>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4" t="s">
        <v>1680</v>
      </c>
      <c r="Q8" s="3715"/>
      <c r="R8" s="700" t="s">
        <v>14</v>
      </c>
      <c r="S8" s="701">
        <f t="shared" si="0"/>
        <v>100</v>
      </c>
      <c r="T8" s="700" t="s">
        <v>14</v>
      </c>
      <c r="U8" s="701">
        <f t="shared" si="1"/>
        <v>100</v>
      </c>
      <c r="V8" s="700" t="s">
        <v>14</v>
      </c>
      <c r="W8" s="701">
        <f t="shared" si="2"/>
        <v>100</v>
      </c>
      <c r="X8" s="702"/>
      <c r="Y8" s="3714" t="s">
        <v>1680</v>
      </c>
      <c r="Z8" s="3715"/>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1" t="s">
        <v>1683</v>
      </c>
      <c r="Q9" s="1339" t="str">
        <f t="shared" ref="Q9:Q14" si="6">B9</f>
        <v>用途</v>
      </c>
      <c r="R9" s="700" t="s">
        <v>14</v>
      </c>
      <c r="S9" s="701">
        <f t="shared" si="0"/>
        <v>100</v>
      </c>
      <c r="T9" s="700" t="s">
        <v>14</v>
      </c>
      <c r="U9" s="701">
        <f t="shared" si="1"/>
        <v>100</v>
      </c>
      <c r="V9" s="700" t="s">
        <v>14</v>
      </c>
      <c r="W9" s="701">
        <f t="shared" si="2"/>
        <v>100</v>
      </c>
      <c r="X9" s="702"/>
      <c r="Y9" s="3676"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1"/>
      <c r="Q10" s="1339" t="str">
        <f t="shared" si="6"/>
        <v>土地使用年限（年）</v>
      </c>
      <c r="R10" s="700" t="s">
        <v>14</v>
      </c>
      <c r="S10" s="701">
        <f t="shared" si="0"/>
        <v>100</v>
      </c>
      <c r="T10" s="700" t="s">
        <v>14</v>
      </c>
      <c r="U10" s="701">
        <f t="shared" si="1"/>
        <v>100</v>
      </c>
      <c r="V10" s="700" t="s">
        <v>14</v>
      </c>
      <c r="W10" s="701">
        <f t="shared" si="2"/>
        <v>100</v>
      </c>
      <c r="X10" s="702"/>
      <c r="Y10" s="3676"/>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1"/>
      <c r="Q11" s="1339">
        <f t="shared" si="6"/>
        <v>111</v>
      </c>
      <c r="R11" s="700" t="s">
        <v>14</v>
      </c>
      <c r="S11" s="701">
        <f t="shared" si="0"/>
        <v>100</v>
      </c>
      <c r="T11" s="700" t="s">
        <v>14</v>
      </c>
      <c r="U11" s="701">
        <f t="shared" si="1"/>
        <v>100</v>
      </c>
      <c r="V11" s="700" t="s">
        <v>14</v>
      </c>
      <c r="W11" s="701">
        <f t="shared" si="2"/>
        <v>100</v>
      </c>
      <c r="X11" s="702"/>
      <c r="Y11" s="3676"/>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1"/>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1"/>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4" t="s">
        <v>1688</v>
      </c>
      <c r="Q14" s="1348" t="str">
        <f t="shared" si="6"/>
        <v>交通便捷度</v>
      </c>
      <c r="R14" s="704" t="s">
        <v>14</v>
      </c>
      <c r="S14" s="705">
        <f t="shared" si="0"/>
        <v>100</v>
      </c>
      <c r="T14" s="704" t="s">
        <v>14</v>
      </c>
      <c r="U14" s="705">
        <f t="shared" si="1"/>
        <v>100</v>
      </c>
      <c r="V14" s="704" t="s">
        <v>14</v>
      </c>
      <c r="W14" s="705">
        <f t="shared" si="2"/>
        <v>100</v>
      </c>
      <c r="X14" s="1351"/>
      <c r="Y14" s="3744"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5"/>
      <c r="Q15" s="1348"/>
      <c r="R15" s="704"/>
      <c r="S15" s="705"/>
      <c r="T15" s="704"/>
      <c r="U15" s="705"/>
      <c r="V15" s="704"/>
      <c r="W15" s="705"/>
      <c r="X15" s="1351"/>
      <c r="Y15" s="3745"/>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5"/>
      <c r="Q16" s="1348" t="str">
        <f>B16</f>
        <v>公共配套设施</v>
      </c>
      <c r="R16" s="704" t="s">
        <v>14</v>
      </c>
      <c r="S16" s="705">
        <f>F16</f>
        <v>100</v>
      </c>
      <c r="T16" s="704" t="s">
        <v>14</v>
      </c>
      <c r="U16" s="705">
        <f>H16</f>
        <v>100</v>
      </c>
      <c r="V16" s="704" t="s">
        <v>14</v>
      </c>
      <c r="W16" s="705">
        <f>J16</f>
        <v>100</v>
      </c>
      <c r="X16" s="1351"/>
      <c r="Y16" s="3745"/>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5"/>
      <c r="Q17" s="1348"/>
      <c r="R17" s="704"/>
      <c r="S17" s="705"/>
      <c r="T17" s="704"/>
      <c r="U17" s="705"/>
      <c r="V17" s="704"/>
      <c r="W17" s="705"/>
      <c r="X17" s="1351"/>
      <c r="Y17" s="3745"/>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5"/>
      <c r="Q18" s="1348" t="str">
        <f>B18</f>
        <v>基础设施水平</v>
      </c>
      <c r="R18" s="704" t="s">
        <v>14</v>
      </c>
      <c r="S18" s="705">
        <f>F18</f>
        <v>100</v>
      </c>
      <c r="T18" s="704" t="s">
        <v>14</v>
      </c>
      <c r="U18" s="705">
        <f>H18</f>
        <v>100</v>
      </c>
      <c r="V18" s="704" t="s">
        <v>14</v>
      </c>
      <c r="W18" s="705">
        <f>J18</f>
        <v>100</v>
      </c>
      <c r="X18" s="1351"/>
      <c r="Y18" s="3745"/>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5"/>
      <c r="Q19" s="1348"/>
      <c r="R19" s="704"/>
      <c r="S19" s="705"/>
      <c r="T19" s="704"/>
      <c r="U19" s="705"/>
      <c r="V19" s="704"/>
      <c r="W19" s="705"/>
      <c r="X19" s="1351"/>
      <c r="Y19" s="3745"/>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5"/>
      <c r="Q20" s="1348" t="str">
        <f>B20</f>
        <v>自然及人文环境</v>
      </c>
      <c r="R20" s="704" t="s">
        <v>14</v>
      </c>
      <c r="S20" s="705">
        <f>F20</f>
        <v>100</v>
      </c>
      <c r="T20" s="704" t="s">
        <v>14</v>
      </c>
      <c r="U20" s="705">
        <f>H20</f>
        <v>100</v>
      </c>
      <c r="V20" s="704" t="s">
        <v>14</v>
      </c>
      <c r="W20" s="705">
        <f>J20</f>
        <v>100</v>
      </c>
      <c r="X20" s="1351"/>
      <c r="Y20" s="3745"/>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5"/>
      <c r="Q21" s="1348"/>
      <c r="R21" s="704"/>
      <c r="S21" s="705"/>
      <c r="T21" s="704"/>
      <c r="U21" s="705"/>
      <c r="V21" s="704"/>
      <c r="W21" s="705"/>
      <c r="X21" s="1351"/>
      <c r="Y21" s="3745"/>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5"/>
      <c r="Q22" s="1348" t="str">
        <f>B22</f>
        <v>楼层</v>
      </c>
      <c r="R22" s="704" t="s">
        <v>14</v>
      </c>
      <c r="S22" s="705">
        <f>F22</f>
        <v>100</v>
      </c>
      <c r="T22" s="704" t="s">
        <v>14</v>
      </c>
      <c r="U22" s="705">
        <f>H22</f>
        <v>100</v>
      </c>
      <c r="V22" s="704" t="s">
        <v>14</v>
      </c>
      <c r="W22" s="705">
        <f>J22</f>
        <v>100</v>
      </c>
      <c r="X22" s="1351"/>
      <c r="Y22" s="3745"/>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5"/>
      <c r="Q23" s="1348">
        <f>B23</f>
        <v>111</v>
      </c>
      <c r="R23" s="704" t="s">
        <v>14</v>
      </c>
      <c r="S23" s="705">
        <f>F23</f>
        <v>100</v>
      </c>
      <c r="T23" s="704" t="s">
        <v>14</v>
      </c>
      <c r="U23" s="705">
        <f>H23</f>
        <v>100</v>
      </c>
      <c r="V23" s="704" t="s">
        <v>14</v>
      </c>
      <c r="W23" s="705">
        <f>J23</f>
        <v>100</v>
      </c>
      <c r="X23" s="1351"/>
      <c r="Y23" s="3745"/>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5"/>
      <c r="Q24" s="1348">
        <f t="shared" ref="Q24:Q34" si="11">B24</f>
        <v>111</v>
      </c>
      <c r="R24" s="704" t="s">
        <v>14</v>
      </c>
      <c r="S24" s="705">
        <f>F24</f>
        <v>100</v>
      </c>
      <c r="T24" s="704" t="s">
        <v>14</v>
      </c>
      <c r="U24" s="705">
        <f>H24</f>
        <v>100</v>
      </c>
      <c r="V24" s="704" t="s">
        <v>14</v>
      </c>
      <c r="W24" s="705">
        <f>J24</f>
        <v>100</v>
      </c>
      <c r="X24" s="1351"/>
      <c r="Y24" s="3745"/>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5"/>
      <c r="Q25" s="1339">
        <f t="shared" si="11"/>
        <v>111</v>
      </c>
      <c r="R25" s="700" t="s">
        <v>14</v>
      </c>
      <c r="S25" s="701">
        <f>F25</f>
        <v>100</v>
      </c>
      <c r="T25" s="700" t="s">
        <v>14</v>
      </c>
      <c r="U25" s="701">
        <f>H25</f>
        <v>100</v>
      </c>
      <c r="V25" s="700" t="s">
        <v>14</v>
      </c>
      <c r="W25" s="701">
        <f>J25</f>
        <v>100</v>
      </c>
      <c r="X25" s="702"/>
      <c r="Y25" s="3745"/>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0"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49"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9"/>
      <c r="Q27" s="706" t="str">
        <f t="shared" si="11"/>
        <v>成新率</v>
      </c>
      <c r="R27" s="707" t="s">
        <v>14</v>
      </c>
      <c r="S27" s="708" t="e">
        <f t="shared" si="12"/>
        <v>#N/A</v>
      </c>
      <c r="T27" s="707" t="s">
        <v>14</v>
      </c>
      <c r="U27" s="708" t="e">
        <f t="shared" si="13"/>
        <v>#N/A</v>
      </c>
      <c r="V27" s="707" t="s">
        <v>14</v>
      </c>
      <c r="W27" s="708" t="e">
        <f t="shared" si="14"/>
        <v>#N/A</v>
      </c>
      <c r="X27" s="709"/>
      <c r="Y27" s="3749"/>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9"/>
      <c r="Q28" s="1348" t="str">
        <f t="shared" si="11"/>
        <v>物业等级</v>
      </c>
      <c r="R28" s="704" t="s">
        <v>14</v>
      </c>
      <c r="S28" s="705">
        <f t="shared" si="12"/>
        <v>100</v>
      </c>
      <c r="T28" s="704" t="s">
        <v>14</v>
      </c>
      <c r="U28" s="705">
        <f t="shared" si="13"/>
        <v>100</v>
      </c>
      <c r="V28" s="704" t="s">
        <v>14</v>
      </c>
      <c r="W28" s="705">
        <f t="shared" si="14"/>
        <v>100</v>
      </c>
      <c r="X28" s="1351"/>
      <c r="Y28" s="3749"/>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49"/>
      <c r="Q29" s="1348" t="str">
        <f t="shared" si="11"/>
        <v>有无电梯</v>
      </c>
      <c r="R29" s="704" t="s">
        <v>14</v>
      </c>
      <c r="S29" s="705">
        <f t="shared" si="12"/>
        <v>100</v>
      </c>
      <c r="T29" s="704" t="s">
        <v>14</v>
      </c>
      <c r="U29" s="705">
        <f t="shared" si="13"/>
        <v>100</v>
      </c>
      <c r="V29" s="704" t="s">
        <v>14</v>
      </c>
      <c r="W29" s="705">
        <f t="shared" si="14"/>
        <v>100</v>
      </c>
      <c r="X29" s="1351"/>
      <c r="Y29" s="3749"/>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9"/>
      <c r="Q30" s="1348" t="str">
        <f t="shared" si="11"/>
        <v>建筑面积</v>
      </c>
      <c r="R30" s="704" t="s">
        <v>14</v>
      </c>
      <c r="S30" s="705" t="e">
        <f t="shared" si="12"/>
        <v>#N/A</v>
      </c>
      <c r="T30" s="704" t="s">
        <v>14</v>
      </c>
      <c r="U30" s="705" t="e">
        <f t="shared" si="13"/>
        <v>#N/A</v>
      </c>
      <c r="V30" s="704" t="s">
        <v>14</v>
      </c>
      <c r="W30" s="705" t="e">
        <f t="shared" si="14"/>
        <v>#N/A</v>
      </c>
      <c r="X30" s="1351"/>
      <c r="Y30" s="3749"/>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49"/>
      <c r="Q31" s="1339" t="str">
        <f t="shared" si="11"/>
        <v>是否封闭</v>
      </c>
      <c r="R31" s="700" t="s">
        <v>14</v>
      </c>
      <c r="S31" s="701">
        <f t="shared" si="12"/>
        <v>100</v>
      </c>
      <c r="T31" s="700" t="s">
        <v>14</v>
      </c>
      <c r="U31" s="701">
        <f t="shared" si="13"/>
        <v>100</v>
      </c>
      <c r="V31" s="700" t="s">
        <v>14</v>
      </c>
      <c r="W31" s="701">
        <f t="shared" si="14"/>
        <v>100</v>
      </c>
      <c r="X31" s="702"/>
      <c r="Y31" s="3749"/>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9" t="s">
        <v>1693</v>
      </c>
      <c r="Q32" s="1348">
        <f t="shared" si="11"/>
        <v>111</v>
      </c>
      <c r="R32" s="704" t="s">
        <v>14</v>
      </c>
      <c r="S32" s="705">
        <f t="shared" si="12"/>
        <v>100</v>
      </c>
      <c r="T32" s="704" t="s">
        <v>14</v>
      </c>
      <c r="U32" s="705">
        <f t="shared" si="13"/>
        <v>100</v>
      </c>
      <c r="V32" s="704" t="s">
        <v>14</v>
      </c>
      <c r="W32" s="705">
        <f t="shared" si="14"/>
        <v>100</v>
      </c>
      <c r="X32" s="1351"/>
      <c r="Y32" s="3749"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9"/>
      <c r="Q33" s="1348">
        <f t="shared" si="11"/>
        <v>111</v>
      </c>
      <c r="R33" s="704" t="s">
        <v>14</v>
      </c>
      <c r="S33" s="705">
        <f t="shared" si="12"/>
        <v>100</v>
      </c>
      <c r="T33" s="704" t="s">
        <v>14</v>
      </c>
      <c r="U33" s="705">
        <f t="shared" si="13"/>
        <v>100</v>
      </c>
      <c r="V33" s="704" t="s">
        <v>14</v>
      </c>
      <c r="W33" s="705">
        <f t="shared" si="14"/>
        <v>100</v>
      </c>
      <c r="X33" s="1351"/>
      <c r="Y33" s="3749"/>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9"/>
      <c r="Q34" s="1348">
        <f t="shared" si="11"/>
        <v>111</v>
      </c>
      <c r="R34" s="704" t="s">
        <v>14</v>
      </c>
      <c r="S34" s="705">
        <f t="shared" si="12"/>
        <v>100</v>
      </c>
      <c r="T34" s="704" t="s">
        <v>14</v>
      </c>
      <c r="U34" s="705">
        <f t="shared" si="13"/>
        <v>100</v>
      </c>
      <c r="V34" s="704" t="s">
        <v>14</v>
      </c>
      <c r="W34" s="705">
        <f t="shared" si="14"/>
        <v>100</v>
      </c>
      <c r="X34" s="1351"/>
      <c r="Y34" s="3749"/>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1" t="str">
        <f>A35</f>
        <v>成交单价（元/平方米）</v>
      </c>
      <c r="Q35" s="3751"/>
      <c r="R35" s="3752">
        <f>E35</f>
        <v>0</v>
      </c>
      <c r="S35" s="3752"/>
      <c r="T35" s="3752">
        <f>G35</f>
        <v>0</v>
      </c>
      <c r="U35" s="3752"/>
      <c r="V35" s="3752">
        <f>I35</f>
        <v>0</v>
      </c>
      <c r="W35" s="3752"/>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3" t="str">
        <f>A37</f>
        <v>估价对象XX用房的比较价值（楼面单价，元/平方米）</v>
      </c>
      <c r="Q37" s="3754"/>
      <c r="R37" s="3791" t="e">
        <f>IF(F1="售价",ROUND(IF(D36="简单平均",AVERAGE(R36:W36),R36*F36+T36*H36+V36*J36),0),ROUND(IF(D36="简单平均",AVERAGE(R36:V36),R36*F36+T36*H36+V36*J36),1))</f>
        <v>#DIV/0!</v>
      </c>
      <c r="S37" s="3791"/>
      <c r="T37" s="3791"/>
      <c r="U37" s="3791"/>
      <c r="V37" s="3791"/>
      <c r="W37" s="3791"/>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16" t="s">
        <v>1768</v>
      </c>
      <c r="S4" s="3717"/>
      <c r="T4" s="3716" t="s">
        <v>1769</v>
      </c>
      <c r="U4" s="3717"/>
      <c r="V4" s="3713" t="s">
        <v>1770</v>
      </c>
      <c r="W4" s="3713"/>
      <c r="X4" s="1351"/>
      <c r="Y4" s="3716" t="s">
        <v>1772</v>
      </c>
      <c r="Z4" s="3717"/>
      <c r="AA4" s="3710" t="s">
        <v>1768</v>
      </c>
      <c r="AB4" s="3711" t="s">
        <v>1769</v>
      </c>
      <c r="AC4" s="3710" t="s">
        <v>1770</v>
      </c>
    </row>
    <row r="5" spans="1:30" ht="15">
      <c r="A5" s="358"/>
      <c r="B5" s="359"/>
      <c r="C5" s="3722" t="s">
        <v>1670</v>
      </c>
      <c r="D5" s="3723"/>
      <c r="E5" s="3720" t="s">
        <v>1671</v>
      </c>
      <c r="F5" s="3721"/>
      <c r="G5" s="3722" t="s">
        <v>1672</v>
      </c>
      <c r="H5" s="3723"/>
      <c r="I5" s="3722" t="s">
        <v>1673</v>
      </c>
      <c r="J5" s="3723"/>
      <c r="K5" s="559"/>
      <c r="L5" s="2711"/>
      <c r="M5" s="2712"/>
      <c r="N5" s="2712"/>
      <c r="O5" s="2712"/>
      <c r="P5" s="3735"/>
      <c r="Q5" s="3736"/>
      <c r="R5" s="3718"/>
      <c r="S5" s="3719"/>
      <c r="T5" s="3718"/>
      <c r="U5" s="3719"/>
      <c r="V5" s="3713"/>
      <c r="W5" s="3713"/>
      <c r="X5" s="1351"/>
      <c r="Y5" s="3718"/>
      <c r="Z5" s="3719"/>
      <c r="AA5" s="3711"/>
      <c r="AB5" s="3711"/>
      <c r="AC5" s="3711"/>
    </row>
    <row r="6" spans="1:30" ht="15.75" thickBot="1">
      <c r="A6" s="360"/>
      <c r="B6" s="361"/>
      <c r="C6" s="3724" t="s">
        <v>1674</v>
      </c>
      <c r="D6" s="3725"/>
      <c r="E6" s="3726" t="s">
        <v>1674</v>
      </c>
      <c r="F6" s="3727"/>
      <c r="G6" s="3724" t="s">
        <v>1674</v>
      </c>
      <c r="H6" s="3725"/>
      <c r="I6" s="3724" t="s">
        <v>1674</v>
      </c>
      <c r="J6" s="3725"/>
      <c r="K6" s="559" t="s">
        <v>1675</v>
      </c>
      <c r="L6" s="2711"/>
      <c r="M6" s="2712"/>
      <c r="N6" s="2712"/>
      <c r="O6" s="2712"/>
      <c r="P6" s="3737"/>
      <c r="Q6" s="3738"/>
      <c r="R6" s="3718"/>
      <c r="S6" s="3719"/>
      <c r="T6" s="3739"/>
      <c r="U6" s="3740"/>
      <c r="V6" s="3713"/>
      <c r="W6" s="3713"/>
      <c r="X6" s="1351"/>
      <c r="Y6" s="3739"/>
      <c r="Z6" s="3740"/>
      <c r="AA6" s="3712"/>
      <c r="AB6" s="3712"/>
      <c r="AC6" s="3712"/>
    </row>
    <row r="7" spans="1:30" s="108" customFormat="1" ht="15.75" thickBot="1">
      <c r="A7" s="362" t="s">
        <v>1676</v>
      </c>
      <c r="B7" s="363"/>
      <c r="C7" s="364">
        <f>'数据-取费表'!B2</f>
        <v>45467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4" t="s">
        <v>1677</v>
      </c>
      <c r="Q7" s="3741"/>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4" t="s">
        <v>1680</v>
      </c>
      <c r="Q8" s="3715"/>
      <c r="R8" s="700" t="s">
        <v>14</v>
      </c>
      <c r="S8" s="701">
        <f t="shared" si="0"/>
        <v>0</v>
      </c>
      <c r="T8" s="700" t="s">
        <v>14</v>
      </c>
      <c r="U8" s="701">
        <f t="shared" si="1"/>
        <v>0</v>
      </c>
      <c r="V8" s="700" t="s">
        <v>14</v>
      </c>
      <c r="W8" s="701">
        <f t="shared" si="2"/>
        <v>0</v>
      </c>
      <c r="X8" s="702"/>
      <c r="Y8" s="3714" t="s">
        <v>1680</v>
      </c>
      <c r="Z8" s="3715"/>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1"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116</v>
      </c>
      <c r="G10" s="414"/>
      <c r="H10" s="127">
        <f>ROUND(100/'数据-取费表'!G16,0)</f>
        <v>116</v>
      </c>
      <c r="I10" s="414"/>
      <c r="J10" s="127">
        <f>ROUND(100/'数据-取费表'!G16,0)</f>
        <v>116</v>
      </c>
      <c r="K10" s="619"/>
      <c r="L10" s="2715"/>
      <c r="M10" s="2716"/>
      <c r="N10" s="2716"/>
      <c r="O10" s="2769"/>
      <c r="P10" s="3751"/>
      <c r="Q10" s="1339" t="str">
        <f t="shared" si="6"/>
        <v>土地使用年限（年）</v>
      </c>
      <c r="R10" s="700" t="s">
        <v>14</v>
      </c>
      <c r="S10" s="701">
        <f t="shared" si="0"/>
        <v>116</v>
      </c>
      <c r="T10" s="700" t="s">
        <v>14</v>
      </c>
      <c r="U10" s="701">
        <f t="shared" si="1"/>
        <v>116</v>
      </c>
      <c r="V10" s="700" t="s">
        <v>14</v>
      </c>
      <c r="W10" s="701">
        <f t="shared" si="2"/>
        <v>116</v>
      </c>
      <c r="X10" s="702"/>
      <c r="Y10" s="3676"/>
      <c r="Z10" s="52" t="str">
        <f t="shared" si="7"/>
        <v>土地使用年限（年）</v>
      </c>
      <c r="AA10" s="703">
        <f t="shared" si="3"/>
        <v>0.86206896551724133</v>
      </c>
      <c r="AB10" s="703">
        <f t="shared" si="4"/>
        <v>0.86206896551724133</v>
      </c>
      <c r="AC10" s="703">
        <f t="shared" si="5"/>
        <v>0.86206896551724133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1"/>
      <c r="Q11" s="1339" t="str">
        <f t="shared" si="6"/>
        <v>容积率</v>
      </c>
      <c r="R11" s="700" t="s">
        <v>14</v>
      </c>
      <c r="S11" s="701" t="e">
        <f t="shared" si="0"/>
        <v>#N/A</v>
      </c>
      <c r="T11" s="700" t="s">
        <v>14</v>
      </c>
      <c r="U11" s="701" t="e">
        <f t="shared" si="1"/>
        <v>#N/A</v>
      </c>
      <c r="V11" s="700" t="s">
        <v>14</v>
      </c>
      <c r="W11" s="701" t="e">
        <f t="shared" si="2"/>
        <v>#N/A</v>
      </c>
      <c r="X11" s="702"/>
      <c r="Y11" s="3676"/>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1"/>
      <c r="Q12" s="1339" t="str">
        <f t="shared" si="6"/>
        <v>配建</v>
      </c>
      <c r="R12" s="700" t="s">
        <v>14</v>
      </c>
      <c r="S12" s="701">
        <f t="shared" si="0"/>
        <v>100</v>
      </c>
      <c r="T12" s="700" t="s">
        <v>14</v>
      </c>
      <c r="U12" s="701">
        <f t="shared" si="1"/>
        <v>100</v>
      </c>
      <c r="V12" s="700" t="s">
        <v>14</v>
      </c>
      <c r="W12" s="701">
        <f t="shared" si="2"/>
        <v>100</v>
      </c>
      <c r="X12" s="702"/>
      <c r="Y12" s="3676"/>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1"/>
      <c r="Q13" s="1339">
        <f t="shared" si="6"/>
        <v>111</v>
      </c>
      <c r="R13" s="700" t="s">
        <v>14</v>
      </c>
      <c r="S13" s="701">
        <f t="shared" si="0"/>
        <v>100</v>
      </c>
      <c r="T13" s="700" t="s">
        <v>14</v>
      </c>
      <c r="U13" s="701">
        <f t="shared" si="1"/>
        <v>100</v>
      </c>
      <c r="V13" s="700" t="s">
        <v>14</v>
      </c>
      <c r="W13" s="701">
        <f t="shared" si="2"/>
        <v>100</v>
      </c>
      <c r="X13" s="702"/>
      <c r="Y13" s="3676"/>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1"/>
      <c r="Q14" s="1339">
        <f t="shared" si="6"/>
        <v>111</v>
      </c>
      <c r="R14" s="700" t="s">
        <v>14</v>
      </c>
      <c r="S14" s="701">
        <f t="shared" si="0"/>
        <v>100</v>
      </c>
      <c r="T14" s="700" t="s">
        <v>14</v>
      </c>
      <c r="U14" s="701">
        <f t="shared" si="1"/>
        <v>100</v>
      </c>
      <c r="V14" s="700" t="s">
        <v>14</v>
      </c>
      <c r="W14" s="701">
        <f t="shared" si="2"/>
        <v>100</v>
      </c>
      <c r="X14" s="702"/>
      <c r="Y14" s="3676"/>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4" t="s">
        <v>1688</v>
      </c>
      <c r="Q15" s="1348" t="str">
        <f t="shared" si="6"/>
        <v>居住社区成熟度</v>
      </c>
      <c r="R15" s="704" t="s">
        <v>14</v>
      </c>
      <c r="S15" s="705">
        <f t="shared" si="0"/>
        <v>100</v>
      </c>
      <c r="T15" s="704" t="s">
        <v>14</v>
      </c>
      <c r="U15" s="705">
        <f t="shared" si="1"/>
        <v>100</v>
      </c>
      <c r="V15" s="704" t="s">
        <v>14</v>
      </c>
      <c r="W15" s="705">
        <f t="shared" si="2"/>
        <v>100</v>
      </c>
      <c r="X15" s="1351"/>
      <c r="Y15" s="3744"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5"/>
      <c r="Q16" s="1348"/>
      <c r="R16" s="704"/>
      <c r="S16" s="705"/>
      <c r="T16" s="704"/>
      <c r="U16" s="705"/>
      <c r="V16" s="704"/>
      <c r="W16" s="705"/>
      <c r="X16" s="1351"/>
      <c r="Y16" s="3745"/>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5"/>
      <c r="Q17" s="1348" t="str">
        <f>B17</f>
        <v>商业繁华度</v>
      </c>
      <c r="R17" s="704" t="s">
        <v>14</v>
      </c>
      <c r="S17" s="705">
        <f>F17</f>
        <v>100</v>
      </c>
      <c r="T17" s="704" t="s">
        <v>14</v>
      </c>
      <c r="U17" s="705">
        <f>H17</f>
        <v>100</v>
      </c>
      <c r="V17" s="704" t="s">
        <v>14</v>
      </c>
      <c r="W17" s="705">
        <f>J17</f>
        <v>100</v>
      </c>
      <c r="X17" s="1351"/>
      <c r="Y17" s="3745"/>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5"/>
      <c r="Q18" s="1348"/>
      <c r="R18" s="704"/>
      <c r="S18" s="705"/>
      <c r="T18" s="704"/>
      <c r="U18" s="705"/>
      <c r="V18" s="704"/>
      <c r="W18" s="705"/>
      <c r="X18" s="1351"/>
      <c r="Y18" s="3745"/>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5"/>
      <c r="Q19" s="1348" t="str">
        <f>B19</f>
        <v>办公集聚程度</v>
      </c>
      <c r="R19" s="704" t="s">
        <v>14</v>
      </c>
      <c r="S19" s="705">
        <f>F19</f>
        <v>100</v>
      </c>
      <c r="T19" s="704" t="s">
        <v>14</v>
      </c>
      <c r="U19" s="705">
        <f>H19</f>
        <v>100</v>
      </c>
      <c r="V19" s="704" t="s">
        <v>14</v>
      </c>
      <c r="W19" s="705">
        <f>J19</f>
        <v>100</v>
      </c>
      <c r="X19" s="1351"/>
      <c r="Y19" s="3745"/>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5"/>
      <c r="Q20" s="1348"/>
      <c r="R20" s="704"/>
      <c r="S20" s="705"/>
      <c r="T20" s="704"/>
      <c r="U20" s="705"/>
      <c r="V20" s="704"/>
      <c r="W20" s="705"/>
      <c r="X20" s="1351"/>
      <c r="Y20" s="3745"/>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5"/>
      <c r="Q21" s="1348" t="str">
        <f>B21</f>
        <v>交通便捷度</v>
      </c>
      <c r="R21" s="704" t="s">
        <v>14</v>
      </c>
      <c r="S21" s="705">
        <f>F21</f>
        <v>100</v>
      </c>
      <c r="T21" s="704" t="s">
        <v>14</v>
      </c>
      <c r="U21" s="705">
        <f>H21</f>
        <v>100</v>
      </c>
      <c r="V21" s="704" t="s">
        <v>14</v>
      </c>
      <c r="W21" s="705">
        <f>J21</f>
        <v>100</v>
      </c>
      <c r="X21" s="1351"/>
      <c r="Y21" s="3745"/>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5"/>
      <c r="Q22" s="1348"/>
      <c r="R22" s="704"/>
      <c r="S22" s="705"/>
      <c r="T22" s="704"/>
      <c r="U22" s="705"/>
      <c r="V22" s="704"/>
      <c r="W22" s="705"/>
      <c r="X22" s="1351"/>
      <c r="Y22" s="3745"/>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5"/>
      <c r="Q23" s="1348" t="str">
        <f t="shared" ref="Q23:Q37" si="8">B23</f>
        <v>区域土地利用方向</v>
      </c>
      <c r="R23" s="704" t="s">
        <v>14</v>
      </c>
      <c r="S23" s="705">
        <f>F23</f>
        <v>100</v>
      </c>
      <c r="T23" s="704" t="s">
        <v>14</v>
      </c>
      <c r="U23" s="705">
        <f>H23</f>
        <v>100</v>
      </c>
      <c r="V23" s="704" t="s">
        <v>14</v>
      </c>
      <c r="W23" s="705">
        <f>J23</f>
        <v>100</v>
      </c>
      <c r="X23" s="1351"/>
      <c r="Y23" s="3745"/>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5"/>
      <c r="Q24" s="1348"/>
      <c r="R24" s="704"/>
      <c r="S24" s="705"/>
      <c r="T24" s="704"/>
      <c r="U24" s="705"/>
      <c r="V24" s="704"/>
      <c r="W24" s="705"/>
      <c r="X24" s="1351"/>
      <c r="Y24" s="3745"/>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5"/>
      <c r="Q25" s="1348" t="str">
        <f t="shared" si="8"/>
        <v>自然及人文环境状况</v>
      </c>
      <c r="R25" s="704" t="s">
        <v>14</v>
      </c>
      <c r="S25" s="705">
        <f>F25</f>
        <v>100</v>
      </c>
      <c r="T25" s="704" t="s">
        <v>14</v>
      </c>
      <c r="U25" s="705">
        <f>H25</f>
        <v>100</v>
      </c>
      <c r="V25" s="704" t="s">
        <v>14</v>
      </c>
      <c r="W25" s="705">
        <f>J25</f>
        <v>100</v>
      </c>
      <c r="X25" s="1351"/>
      <c r="Y25" s="3745"/>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5"/>
      <c r="Q26" s="1348"/>
      <c r="R26" s="704"/>
      <c r="S26" s="705"/>
      <c r="T26" s="704"/>
      <c r="U26" s="705"/>
      <c r="V26" s="704"/>
      <c r="W26" s="705"/>
      <c r="X26" s="1351"/>
      <c r="Y26" s="3745"/>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5"/>
      <c r="Q27" s="1339" t="str">
        <f t="shared" si="8"/>
        <v>公共配套设施</v>
      </c>
      <c r="R27" s="700" t="s">
        <v>14</v>
      </c>
      <c r="S27" s="701">
        <f>F27</f>
        <v>100</v>
      </c>
      <c r="T27" s="700" t="s">
        <v>14</v>
      </c>
      <c r="U27" s="701">
        <f>H27</f>
        <v>100</v>
      </c>
      <c r="V27" s="700" t="s">
        <v>14</v>
      </c>
      <c r="W27" s="701">
        <f>J27</f>
        <v>100</v>
      </c>
      <c r="X27" s="702"/>
      <c r="Y27" s="3745"/>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5"/>
      <c r="Q28" s="1339"/>
      <c r="R28" s="700"/>
      <c r="S28" s="701"/>
      <c r="T28" s="700"/>
      <c r="U28" s="701"/>
      <c r="V28" s="700"/>
      <c r="W28" s="701"/>
      <c r="X28" s="702"/>
      <c r="Y28" s="3745"/>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5"/>
      <c r="Q29" s="1339" t="str">
        <f t="shared" ref="Q29" si="9">B29</f>
        <v>基础设施水平</v>
      </c>
      <c r="R29" s="700" t="s">
        <v>14</v>
      </c>
      <c r="S29" s="701">
        <f>F29</f>
        <v>100</v>
      </c>
      <c r="T29" s="700" t="s">
        <v>14</v>
      </c>
      <c r="U29" s="701">
        <f>H29</f>
        <v>100</v>
      </c>
      <c r="V29" s="700" t="s">
        <v>14</v>
      </c>
      <c r="W29" s="701">
        <f>J29</f>
        <v>100</v>
      </c>
      <c r="X29" s="702"/>
      <c r="Y29" s="3745"/>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5"/>
      <c r="Q30" s="1339"/>
      <c r="R30" s="700"/>
      <c r="S30" s="701"/>
      <c r="T30" s="700"/>
      <c r="U30" s="701"/>
      <c r="V30" s="700"/>
      <c r="W30" s="701"/>
      <c r="X30" s="702"/>
      <c r="Y30" s="3745"/>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5"/>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5"/>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5"/>
      <c r="Q32" s="1348" t="str">
        <f t="shared" si="8"/>
        <v>毗邻道路的类型与等级</v>
      </c>
      <c r="R32" s="704" t="s">
        <v>14</v>
      </c>
      <c r="S32" s="705">
        <f t="shared" si="10"/>
        <v>100</v>
      </c>
      <c r="T32" s="704" t="s">
        <v>14</v>
      </c>
      <c r="U32" s="705">
        <f t="shared" si="11"/>
        <v>100</v>
      </c>
      <c r="V32" s="704" t="s">
        <v>14</v>
      </c>
      <c r="W32" s="705">
        <f t="shared" si="12"/>
        <v>100</v>
      </c>
      <c r="X32" s="1351"/>
      <c r="Y32" s="3745"/>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5"/>
      <c r="Q33" s="1348"/>
      <c r="R33" s="704"/>
      <c r="S33" s="705"/>
      <c r="T33" s="704"/>
      <c r="U33" s="705"/>
      <c r="V33" s="704"/>
      <c r="W33" s="705"/>
      <c r="X33" s="1351"/>
      <c r="Y33" s="3745"/>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5"/>
      <c r="Q34" s="1348" t="str">
        <f t="shared" si="8"/>
        <v>土地级别</v>
      </c>
      <c r="R34" s="704" t="s">
        <v>14</v>
      </c>
      <c r="S34" s="705">
        <f t="shared" si="10"/>
        <v>100</v>
      </c>
      <c r="T34" s="704" t="s">
        <v>14</v>
      </c>
      <c r="U34" s="705">
        <f t="shared" si="11"/>
        <v>100</v>
      </c>
      <c r="V34" s="704" t="s">
        <v>14</v>
      </c>
      <c r="W34" s="705">
        <f t="shared" si="12"/>
        <v>100</v>
      </c>
      <c r="X34" s="1351"/>
      <c r="Y34" s="3745"/>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5"/>
      <c r="Q35" s="1348">
        <f t="shared" si="8"/>
        <v>111</v>
      </c>
      <c r="R35" s="704" t="s">
        <v>14</v>
      </c>
      <c r="S35" s="705">
        <f t="shared" si="10"/>
        <v>100</v>
      </c>
      <c r="T35" s="704" t="s">
        <v>14</v>
      </c>
      <c r="U35" s="705">
        <f t="shared" si="11"/>
        <v>100</v>
      </c>
      <c r="V35" s="704" t="s">
        <v>14</v>
      </c>
      <c r="W35" s="705">
        <f t="shared" si="12"/>
        <v>100</v>
      </c>
      <c r="X35" s="1351"/>
      <c r="Y35" s="3745"/>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0" t="s">
        <v>1693</v>
      </c>
      <c r="Q36" s="1348">
        <f t="shared" si="8"/>
        <v>111</v>
      </c>
      <c r="R36" s="704" t="s">
        <v>14</v>
      </c>
      <c r="S36" s="705">
        <f t="shared" si="10"/>
        <v>100</v>
      </c>
      <c r="T36" s="704" t="s">
        <v>14</v>
      </c>
      <c r="U36" s="705">
        <f t="shared" si="11"/>
        <v>100</v>
      </c>
      <c r="V36" s="704" t="s">
        <v>14</v>
      </c>
      <c r="W36" s="705">
        <f t="shared" si="12"/>
        <v>100</v>
      </c>
      <c r="X36" s="1351"/>
      <c r="Y36" s="3749"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49"/>
      <c r="Q37" s="1348">
        <f t="shared" si="8"/>
        <v>111</v>
      </c>
      <c r="R37" s="707" t="s">
        <v>14</v>
      </c>
      <c r="S37" s="708">
        <f t="shared" si="10"/>
        <v>100</v>
      </c>
      <c r="T37" s="707" t="s">
        <v>14</v>
      </c>
      <c r="U37" s="708">
        <f t="shared" si="11"/>
        <v>100</v>
      </c>
      <c r="V37" s="707" t="s">
        <v>14</v>
      </c>
      <c r="W37" s="708">
        <f t="shared" si="12"/>
        <v>100</v>
      </c>
      <c r="X37" s="709"/>
      <c r="Y37" s="3749"/>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49"/>
      <c r="Q38" s="1348" t="str">
        <f>B38</f>
        <v>宗地面积</v>
      </c>
      <c r="R38" s="704" t="s">
        <v>14</v>
      </c>
      <c r="S38" s="705" t="e">
        <f t="shared" si="10"/>
        <v>#N/A</v>
      </c>
      <c r="T38" s="704" t="s">
        <v>14</v>
      </c>
      <c r="U38" s="705" t="e">
        <f t="shared" si="11"/>
        <v>#N/A</v>
      </c>
      <c r="V38" s="704" t="s">
        <v>14</v>
      </c>
      <c r="W38" s="705" t="e">
        <f t="shared" si="12"/>
        <v>#N/A</v>
      </c>
      <c r="X38" s="1351"/>
      <c r="Y38" s="3749"/>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9"/>
      <c r="Q39" s="1348" t="str">
        <f t="shared" ref="Q39:Q45" si="14">B39</f>
        <v>宗地形状</v>
      </c>
      <c r="R39" s="704" t="s">
        <v>14</v>
      </c>
      <c r="S39" s="705">
        <f t="shared" si="10"/>
        <v>100</v>
      </c>
      <c r="T39" s="704" t="s">
        <v>14</v>
      </c>
      <c r="U39" s="705">
        <f t="shared" si="11"/>
        <v>100</v>
      </c>
      <c r="V39" s="704" t="s">
        <v>14</v>
      </c>
      <c r="W39" s="705">
        <f t="shared" si="12"/>
        <v>100</v>
      </c>
      <c r="X39" s="1351"/>
      <c r="Y39" s="3749"/>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9"/>
      <c r="Q40" s="1348" t="str">
        <f t="shared" si="14"/>
        <v>临街宽度及深度</v>
      </c>
      <c r="R40" s="704" t="s">
        <v>14</v>
      </c>
      <c r="S40" s="705">
        <f t="shared" si="10"/>
        <v>100</v>
      </c>
      <c r="T40" s="704" t="s">
        <v>14</v>
      </c>
      <c r="U40" s="705">
        <f t="shared" si="11"/>
        <v>100</v>
      </c>
      <c r="V40" s="704" t="s">
        <v>14</v>
      </c>
      <c r="W40" s="705">
        <f t="shared" si="12"/>
        <v>100</v>
      </c>
      <c r="X40" s="1351"/>
      <c r="Y40" s="3749"/>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9"/>
      <c r="Q41" s="1348" t="str">
        <f t="shared" si="14"/>
        <v>宗地开发程度</v>
      </c>
      <c r="R41" s="700" t="s">
        <v>14</v>
      </c>
      <c r="S41" s="701">
        <f t="shared" si="10"/>
        <v>100</v>
      </c>
      <c r="T41" s="700" t="s">
        <v>14</v>
      </c>
      <c r="U41" s="701">
        <f t="shared" si="11"/>
        <v>100</v>
      </c>
      <c r="V41" s="700" t="s">
        <v>14</v>
      </c>
      <c r="W41" s="701">
        <f t="shared" si="12"/>
        <v>100</v>
      </c>
      <c r="X41" s="702"/>
      <c r="Y41" s="3749"/>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9" t="s">
        <v>1693</v>
      </c>
      <c r="Q42" s="1348" t="str">
        <f t="shared" si="14"/>
        <v>工程地质条件</v>
      </c>
      <c r="R42" s="704" t="s">
        <v>14</v>
      </c>
      <c r="S42" s="705">
        <f t="shared" si="10"/>
        <v>100</v>
      </c>
      <c r="T42" s="704" t="s">
        <v>14</v>
      </c>
      <c r="U42" s="705">
        <f t="shared" si="11"/>
        <v>100</v>
      </c>
      <c r="V42" s="704" t="s">
        <v>14</v>
      </c>
      <c r="W42" s="705">
        <f t="shared" si="12"/>
        <v>100</v>
      </c>
      <c r="X42" s="1351"/>
      <c r="Y42" s="3749"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49"/>
      <c r="Q43" s="1348">
        <f t="shared" si="14"/>
        <v>111</v>
      </c>
      <c r="R43" s="704" t="s">
        <v>14</v>
      </c>
      <c r="S43" s="705">
        <f t="shared" si="10"/>
        <v>100</v>
      </c>
      <c r="T43" s="704" t="s">
        <v>14</v>
      </c>
      <c r="U43" s="705">
        <f t="shared" si="11"/>
        <v>100</v>
      </c>
      <c r="V43" s="704" t="s">
        <v>14</v>
      </c>
      <c r="W43" s="705">
        <f t="shared" si="12"/>
        <v>100</v>
      </c>
      <c r="X43" s="1351"/>
      <c r="Y43" s="3749"/>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49"/>
      <c r="Q44" s="1348">
        <f t="shared" si="14"/>
        <v>111</v>
      </c>
      <c r="R44" s="704" t="s">
        <v>14</v>
      </c>
      <c r="S44" s="705">
        <f t="shared" si="10"/>
        <v>100</v>
      </c>
      <c r="T44" s="704" t="s">
        <v>14</v>
      </c>
      <c r="U44" s="705">
        <f t="shared" si="11"/>
        <v>100</v>
      </c>
      <c r="V44" s="704" t="s">
        <v>14</v>
      </c>
      <c r="W44" s="705">
        <f t="shared" si="12"/>
        <v>100</v>
      </c>
      <c r="X44" s="1351"/>
      <c r="Y44" s="3749"/>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49"/>
      <c r="Q45" s="1348">
        <f t="shared" si="14"/>
        <v>111</v>
      </c>
      <c r="R45" s="707" t="s">
        <v>14</v>
      </c>
      <c r="S45" s="708">
        <f t="shared" si="10"/>
        <v>100</v>
      </c>
      <c r="T45" s="707" t="s">
        <v>14</v>
      </c>
      <c r="U45" s="708">
        <f t="shared" si="11"/>
        <v>100</v>
      </c>
      <c r="V45" s="707" t="s">
        <v>14</v>
      </c>
      <c r="W45" s="708">
        <f t="shared" si="12"/>
        <v>100</v>
      </c>
      <c r="X45" s="709"/>
      <c r="Y45" s="3749"/>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1" t="str">
        <f>A46</f>
        <v>成交单价</v>
      </c>
      <c r="Q46" s="3751"/>
      <c r="R46" s="3713">
        <f>E46</f>
        <v>0</v>
      </c>
      <c r="S46" s="3713"/>
      <c r="T46" s="3713">
        <f>G46</f>
        <v>0</v>
      </c>
      <c r="U46" s="3713"/>
      <c r="V46" s="3713">
        <f>I46</f>
        <v>0</v>
      </c>
      <c r="W46" s="3713"/>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1" t="str">
        <f>A47</f>
        <v>比较价值（元/平方米）</v>
      </c>
      <c r="Q47" s="3751"/>
      <c r="R47" s="3792" t="e">
        <f>ROUND(PRODUCT(R46,AA7:AA45),0)</f>
        <v>#DIV/0!</v>
      </c>
      <c r="S47" s="3792"/>
      <c r="T47" s="3792" t="e">
        <f>ROUND(PRODUCT(T46,AB7:AB45),0)</f>
        <v>#DIV/0!</v>
      </c>
      <c r="U47" s="3792"/>
      <c r="V47" s="3792" t="e">
        <f>ROUND(PRODUCT(V46,AC7:AC45),0)</f>
        <v>#DIV/0!</v>
      </c>
      <c r="W47" s="3792"/>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3" t="str">
        <f>A48</f>
        <v>估价对象XX用房的比较价值（楼面单价，元/平方米）</v>
      </c>
      <c r="Q48" s="3754"/>
      <c r="R48" s="3793" t="e">
        <f>ROUND(IF(D47="简单平均",AVERAGE(R47:W47),R47*F47+T47*H47+V47*J47),0)</f>
        <v>#DIV/0!</v>
      </c>
      <c r="S48" s="3793"/>
      <c r="T48" s="3793"/>
      <c r="U48" s="3793"/>
      <c r="V48" s="3793"/>
      <c r="W48" s="3793"/>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9" t="s">
        <v>1884</v>
      </c>
      <c r="H55" s="3794"/>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19982.989999999998</v>
      </c>
      <c r="F56" s="882" t="e">
        <f t="shared" ref="F56:F64" si="15">ROUND(B56*E56/10000,0)</f>
        <v>#DIV/0!</v>
      </c>
      <c r="G56" s="3728"/>
      <c r="H56" s="375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v>
      </c>
      <c r="D57" s="941">
        <v>0.25</v>
      </c>
      <c r="E57" s="641"/>
      <c r="F57" s="882" t="e">
        <f t="shared" si="15"/>
        <v>#DIV/0!</v>
      </c>
      <c r="G57" s="3002" t="s">
        <v>1889</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v>
      </c>
      <c r="D58" s="941">
        <v>0.25</v>
      </c>
      <c r="E58" s="641"/>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v>
      </c>
      <c r="D59" s="941">
        <v>0.25</v>
      </c>
      <c r="E59" s="641"/>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v>
      </c>
      <c r="D60" s="941">
        <v>0.25</v>
      </c>
      <c r="E60" s="217">
        <f>'数据-汇总表'!E11</f>
        <v>0</v>
      </c>
      <c r="F60" s="882" t="e">
        <f t="shared" si="15"/>
        <v>#DIV/0!</v>
      </c>
      <c r="G60" s="1983" t="s">
        <v>1893</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v>
      </c>
      <c r="D61" s="941">
        <v>0.25</v>
      </c>
      <c r="E61" s="217">
        <f>'数据-汇总表'!E12</f>
        <v>0</v>
      </c>
      <c r="F61" s="882" t="e">
        <f t="shared" si="15"/>
        <v>#DIV/0!</v>
      </c>
      <c r="G61" s="888" t="s">
        <v>1895</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v>
      </c>
      <c r="D63" s="941">
        <v>0.25</v>
      </c>
      <c r="E63" s="217">
        <f>'数据-汇总表'!E14</f>
        <v>0</v>
      </c>
      <c r="F63" s="882" t="e">
        <f t="shared" si="15"/>
        <v>#DIV/0!</v>
      </c>
      <c r="G63" s="1983" t="s">
        <v>1889</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v>
      </c>
      <c r="D64" s="941">
        <v>0.25</v>
      </c>
      <c r="E64" s="217">
        <f>'数据-汇总表'!E15</f>
        <v>0</v>
      </c>
      <c r="F64" s="882" t="e">
        <f t="shared" si="15"/>
        <v>#DIV/0!</v>
      </c>
      <c r="G64" s="1984" t="s">
        <v>1893</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19982.989999999998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A13"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3489"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86" t="s">
        <v>704</v>
      </c>
      <c r="E13" s="3486"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96" t="s">
        <v>707</v>
      </c>
      <c r="E14" s="3495"/>
      <c r="F14" s="319"/>
      <c r="G14" s="1380"/>
      <c r="H14" s="978" t="s">
        <v>397</v>
      </c>
      <c r="I14" s="302" t="s">
        <v>708</v>
      </c>
      <c r="J14" s="21" t="e">
        <f ca="1">C29</f>
        <v>#N/A</v>
      </c>
      <c r="K14" s="3488"/>
      <c r="L14" s="803"/>
      <c r="M14" s="804"/>
    </row>
    <row r="15" spans="1:37" s="1393" customFormat="1" ht="18" customHeight="1" thickBot="1">
      <c r="A15" s="978" t="s">
        <v>398</v>
      </c>
      <c r="B15" s="302" t="s">
        <v>709</v>
      </c>
      <c r="C15" s="21" t="e">
        <f ca="1">ROUND(C14*F15,0)</f>
        <v>#N/A</v>
      </c>
      <c r="D15" s="3487" t="s">
        <v>710</v>
      </c>
      <c r="E15" s="3487"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98"/>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507"/>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t="e">
        <f ca="1">ROUND(J14*M22,2)</f>
        <v>#N/A</v>
      </c>
      <c r="K22" s="3497"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3497"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87"/>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98"/>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97"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97"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t="e">
        <f ca="1">C39/C6</f>
        <v>#N/A</v>
      </c>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506"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2105</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349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IF(项目基本情况!B11="自然人","——",IF(D61="按租金收入计税",ROUND(C49*F61/(1+'数据-取费表'!C42),2),IF(D61="按房产原值计税",ROUND(C57*F61*0.7,2),INDIRECT("'数据-取费表'!Aj"&amp;$G$1))))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IF(项目基本情况!B11="自然人","——",ROUND(F62*F63/10000,2))</f>
        <v>#N/A</v>
      </c>
      <c r="D62" s="961" t="s">
        <v>785</v>
      </c>
      <c r="E62" s="946" t="s">
        <v>786</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ROUND(C57*F64,2)</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K34" sqref="K34:K35"/>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t="e">
        <f ca="1">SUMIF(B6:B13,"&lt;&gt;#ref!",B6:B13)</f>
        <v>#DIV/0!</v>
      </c>
      <c r="C2" s="2141" t="s">
        <v>2070</v>
      </c>
      <c r="D2" s="2141" t="s">
        <v>2071</v>
      </c>
      <c r="E2" s="2608">
        <f ca="1">SUMIF(E6:E13,"&lt;&gt;#ref!",E6:E13)</f>
        <v>0</v>
      </c>
      <c r="F2" s="2789"/>
      <c r="G2" s="2789"/>
      <c r="H2" s="2789"/>
      <c r="I2" s="2789"/>
      <c r="J2" s="2789"/>
      <c r="K2" s="2789"/>
      <c r="L2" s="2789"/>
      <c r="M2" s="2789"/>
      <c r="N2" s="2789"/>
      <c r="O2" s="2789"/>
      <c r="P2" s="2789"/>
    </row>
    <row r="3" spans="1:16" ht="15.75">
      <c r="A3" s="2141" t="s">
        <v>2072</v>
      </c>
      <c r="B3" s="2598" t="e">
        <f ca="1">ROUND(B2*10000/E2,0)</f>
        <v>#DIV/0!</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3464</v>
      </c>
      <c r="B6" s="2598" t="e">
        <f ca="1">SUMIF(INDIRECT("'"&amp;A6&amp;"'"&amp;"!A:A"),"总价",INDIRECT("'"&amp;A6&amp;"'"&amp;"!B:B"))</f>
        <v>#REF!</v>
      </c>
      <c r="C6" s="2141" t="s">
        <v>2070</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3463</v>
      </c>
      <c r="B7" s="2598" t="e">
        <f ca="1">SUMIF(INDIRECT("'"&amp;A7&amp;"'"&amp;"!A:A"),"总价",INDIRECT("'"&amp;A7&amp;"'"&amp;"!B:B"))</f>
        <v>#DIV/0!</v>
      </c>
      <c r="C7" s="2141" t="s">
        <v>2070</v>
      </c>
      <c r="D7" s="2789"/>
      <c r="E7" s="2608">
        <f t="shared" ref="E7:E13" ca="1" si="0">SUMIF(INDIRECT("'"&amp;A7&amp;"'"&amp;"!C:C"),"建筑面积",INDIRECT("'"&amp;A7&amp;"'"&amp;"!D:D"))</f>
        <v>0</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73586.240000000005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6623</v>
      </c>
      <c r="C2" s="1995" t="s">
        <v>1931</v>
      </c>
      <c r="D2" s="1996" t="s">
        <v>1932</v>
      </c>
      <c r="E2" s="3418" t="s">
        <v>3</v>
      </c>
      <c r="F2" s="1996" t="s">
        <v>1933</v>
      </c>
      <c r="G2" s="1997" t="str">
        <f>IF(E2="商业",项目基本情况!B37,IF(E2="办公",项目基本情况!C37,IF(E2="住宅",项目基本情况!D37,IF(E2="工业",项目基本情况!E37,项目基本情况!F37))))</f>
        <v>九级</v>
      </c>
      <c r="H2" s="1996" t="s">
        <v>1934</v>
      </c>
      <c r="I2" s="1997" t="str">
        <f>IF(E2="商业",项目基本情况!B38,IF(E2="办公",项目基本情况!C38,IF(E2="住宅",项目基本情况!D38,IF(E2="工业",项目基本情况!E38,项目基本情况!F38))))</f>
        <v>Ⅸ-昌1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1387</v>
      </c>
      <c r="U2" s="1209">
        <f>'数据-汇总表'!F19</f>
        <v>19982.989999999998</v>
      </c>
      <c r="V2" s="3357">
        <f>ROUND(T2*U2/10000,0)</f>
        <v>2772</v>
      </c>
      <c r="W2" s="1212"/>
      <c r="X2" s="1212"/>
      <c r="Y2" s="1212"/>
      <c r="Z2" s="1212"/>
      <c r="AA2" s="1212"/>
      <c r="AB2" s="1212"/>
      <c r="AC2" s="1213"/>
      <c r="AD2" s="1214"/>
      <c r="AE2" s="1214"/>
      <c r="AF2" s="1214"/>
      <c r="AG2" s="1214"/>
      <c r="AH2" s="1214"/>
      <c r="AI2" s="1214"/>
      <c r="AJ2" s="1215"/>
    </row>
    <row r="3" spans="1:36" ht="15.75">
      <c r="A3" s="203" t="s">
        <v>1936</v>
      </c>
      <c r="B3" s="204">
        <f>ROUND(B2*10000/D1,0)</f>
        <v>900</v>
      </c>
      <c r="C3" s="1995" t="s">
        <v>1937</v>
      </c>
      <c r="D3" s="1996" t="s">
        <v>1938</v>
      </c>
      <c r="E3" s="3416" t="s">
        <v>2478</v>
      </c>
      <c r="F3" s="2000" t="s">
        <v>3451</v>
      </c>
      <c r="G3" s="748">
        <f>IF(F3="宗地容积率",'数据-汇总表'!I4,IF(F3="估价对象容积率",'数据-汇总表'!I6,'数据-汇总表'!I7))</f>
        <v>1</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1069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872</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950</v>
      </c>
      <c r="D5" s="1335">
        <f>ROUND(C6*C17+C20,0)</f>
        <v>950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740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950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675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九级</v>
      </c>
      <c r="Y7" s="1210" t="s">
        <v>1952</v>
      </c>
      <c r="Z7" s="1211">
        <f>G3</f>
        <v>1</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950</v>
      </c>
      <c r="N9" s="862">
        <f>SUMPRODUCT((因素修正幅度!B277:B326=I2)*(因素修正幅度!C3:G3=E2)*(因素修正幅度!C277:G326))</f>
        <v>0.14899999999999999</v>
      </c>
      <c r="O9" s="1115"/>
      <c r="P9" s="1115"/>
      <c r="Q9" s="1115"/>
      <c r="R9" s="1208">
        <v>8</v>
      </c>
      <c r="S9" s="1209"/>
      <c r="T9" s="3357">
        <f t="shared" si="0"/>
        <v>0</v>
      </c>
      <c r="U9" s="1209"/>
      <c r="V9" s="3357">
        <f t="shared" si="1"/>
        <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f>ROUND(IF(F21="与级别开发程度一致",0,(G21-E21)/C21),0)</f>
        <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3452</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1998</v>
      </c>
      <c r="E23" s="757">
        <v>44197</v>
      </c>
      <c r="F23" s="2050" t="s">
        <v>1999</v>
      </c>
      <c r="G23" s="758">
        <f>'数据-取费表'!B2</f>
        <v>45467</v>
      </c>
      <c r="H23" s="3339" t="s">
        <v>3254</v>
      </c>
      <c r="I23" s="3340" t="str">
        <f>IF(H23="季度增幅（自定义）",SUMIF(N25:N28,E2,O25:O28),"")</f>
        <v/>
      </c>
      <c r="J23" s="3441" t="s">
        <v>3456</v>
      </c>
      <c r="K23" s="1121"/>
      <c r="L23" s="2051" t="s">
        <v>2000</v>
      </c>
      <c r="M23" s="1324">
        <f>ROUND(SUMIF(地价!B2:G2,E2,地价!B16:G16),0)</f>
        <v>318</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0.85870000000000002</v>
      </c>
      <c r="D24" s="2056" t="s">
        <v>2003</v>
      </c>
      <c r="E24" s="1331">
        <f>存贷款利率!E24/100</f>
        <v>4.3499999999999997E-2</v>
      </c>
      <c r="F24" s="2056" t="s">
        <v>1995</v>
      </c>
      <c r="G24" s="764">
        <f>SUMIF(M30:Q30,E2,M33:Q33)</f>
        <v>0.05</v>
      </c>
      <c r="H24" s="2056" t="s">
        <v>2004</v>
      </c>
      <c r="I24" s="765">
        <f>SUMIF('数据-取费表'!C6:C15,E2,'数据-取费表'!F6:F15)/COUNTIF('数据-取费表'!C6:C15,E2)</f>
        <v>31.39</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1.5418000000000001</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1.0266999999999999</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6623</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900</v>
      </c>
      <c r="D33" s="2094">
        <f>'数据-汇总表'!D19</f>
        <v>73586.240000000005</v>
      </c>
      <c r="E33" s="769">
        <f>ROUND(C33*D33/10000,0)</f>
        <v>6623</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135</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f>ROUND(D5*C22*C23*C24*C28*F37,0)</f>
        <v>450</v>
      </c>
      <c r="D37" s="2094"/>
      <c r="E37" s="171">
        <f>ROUND(C37*D37/10000,0)</f>
        <v>0</v>
      </c>
      <c r="F37" s="171">
        <f>SUMIF(修正!A57:A68,G2,修正!B57:B68)</f>
        <v>0.5</v>
      </c>
      <c r="G37" s="171">
        <f>ROUND(IF(E2="工业",C37*$M$42,C37*$M$41),0)</f>
        <v>68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f>ROUND(D5*C22*C23*C24*C28*F38,0)</f>
        <v>180</v>
      </c>
      <c r="D38" s="2094"/>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f>ROUND(D5*C22*C23*C24*C28*F39,0)</f>
        <v>180</v>
      </c>
      <c r="D39" s="2094"/>
      <c r="E39" s="171">
        <f t="shared" si="4"/>
        <v>0</v>
      </c>
      <c r="F39" s="171">
        <f>SUMIF(修正!A57:A68,G2,修正!D57:D68)</f>
        <v>0.2</v>
      </c>
      <c r="G39" s="171">
        <f>ROUND(IF(E2="工业",C39*$M$42,C39*$M$41),0)</f>
        <v>27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180</v>
      </c>
      <c r="D40" s="2094"/>
      <c r="E40" s="171">
        <f t="shared" si="4"/>
        <v>0</v>
      </c>
      <c r="F40" s="175">
        <f>SUMIF(修正!A57:A68,G2,修正!E57:E68)</f>
        <v>0.2</v>
      </c>
      <c r="G40" s="171">
        <f>ROUND(IF(E2="工业",C40*$M$42,C40*$M$41),0)</f>
        <v>27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180</v>
      </c>
      <c r="D41" s="2094"/>
      <c r="E41" s="171">
        <f t="shared" si="4"/>
        <v>0</v>
      </c>
      <c r="F41" s="175">
        <f>SUMIF(修正!A57:A68,G2,修正!F57:F68)</f>
        <v>0.2</v>
      </c>
      <c r="G41" s="171">
        <f>ROUND(IF(E2="工业",C41*$M$42,C41*$M$41),0)</f>
        <v>27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90</v>
      </c>
      <c r="D42" s="2099"/>
      <c r="E42" s="187">
        <f t="shared" si="4"/>
        <v>0</v>
      </c>
      <c r="F42" s="763">
        <f>SUMIF(修正!A57:A68,G2,修正!G57:G68)</f>
        <v>0.1</v>
      </c>
      <c r="G42" s="187">
        <f>ROUND(IF(E2="工业",C42*$M$42,C42*$M$41),0)</f>
        <v>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0.85870000000000002</v>
      </c>
      <c r="D44" s="171" t="s">
        <v>1995</v>
      </c>
      <c r="E44" s="2149">
        <f>G24</f>
        <v>0.05</v>
      </c>
      <c r="F44" s="171" t="s">
        <v>2004</v>
      </c>
      <c r="G44" s="183">
        <f>项目基本情况!H15</f>
        <v>31.39</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t="e">
        <f>1+E61</f>
        <v>#VALUE!</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t="e">
        <f>ROUND(SUM(D61:D69),4)</f>
        <v>#VALUE!</v>
      </c>
      <c r="F61" s="1810" t="str">
        <f>IF(E2="办公",SUMIF(L1:L12,G2,N1:N12),"——")</f>
        <v>——</v>
      </c>
      <c r="G61" s="1059" t="str">
        <f>H61</f>
        <v>——</v>
      </c>
      <c r="H61" s="1062" t="str">
        <f t="shared" ref="H61:H69" si="14">IFERROR(ROUNDDOWN($F$61*I61/2,4),"——")</f>
        <v>——</v>
      </c>
      <c r="I61" s="3363">
        <v>0.25</v>
      </c>
      <c r="J61" s="1060" t="e">
        <f t="shared" ref="J61:J69" si="15">K61+$G61</f>
        <v>#VALUE!</v>
      </c>
      <c r="K61" s="1060" t="e">
        <f t="shared" ref="K61:K69" si="16">$L61+$G61</f>
        <v>#VALUE!</v>
      </c>
      <c r="L61" s="1060">
        <v>0</v>
      </c>
      <c r="M61" s="1060" t="e">
        <f t="shared" ref="M61:N69" si="17">L61-$G61</f>
        <v>#VALUE!</v>
      </c>
      <c r="N61" s="1060" t="e">
        <f t="shared" si="17"/>
        <v>#VALUE!</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t="e">
        <f t="shared" si="13"/>
        <v>#VALUE!</v>
      </c>
      <c r="E62" s="741"/>
      <c r="F62" s="1810"/>
      <c r="G62" s="1059" t="str">
        <f t="shared" ref="G62:G69" si="18">H62</f>
        <v>——</v>
      </c>
      <c r="H62" s="1062" t="str">
        <f t="shared" si="14"/>
        <v>——</v>
      </c>
      <c r="I62" s="3363">
        <v>0.26</v>
      </c>
      <c r="J62" s="1060" t="e">
        <f t="shared" si="15"/>
        <v>#VALUE!</v>
      </c>
      <c r="K62" s="1060" t="e">
        <f t="shared" si="16"/>
        <v>#VALUE!</v>
      </c>
      <c r="L62" s="1060">
        <v>0</v>
      </c>
      <c r="M62" s="1060" t="e">
        <f t="shared" si="17"/>
        <v>#VALUE!</v>
      </c>
      <c r="N62" s="1060" t="e">
        <f t="shared" si="17"/>
        <v>#VALUE!</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t="e">
        <f t="shared" si="13"/>
        <v>#VALUE!</v>
      </c>
      <c r="E63" s="741"/>
      <c r="F63" s="1810"/>
      <c r="G63" s="1059" t="str">
        <f t="shared" si="18"/>
        <v>——</v>
      </c>
      <c r="H63" s="1062" t="str">
        <f t="shared" si="14"/>
        <v>——</v>
      </c>
      <c r="I63" s="3363">
        <v>0.11</v>
      </c>
      <c r="J63" s="1060" t="e">
        <f t="shared" si="15"/>
        <v>#VALUE!</v>
      </c>
      <c r="K63" s="1060" t="e">
        <f t="shared" si="16"/>
        <v>#VALUE!</v>
      </c>
      <c r="L63" s="1060">
        <v>0</v>
      </c>
      <c r="M63" s="1060" t="e">
        <f t="shared" si="17"/>
        <v>#VALUE!</v>
      </c>
      <c r="N63" s="1060" t="e">
        <f t="shared" si="17"/>
        <v>#VALUE!</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t="e">
        <f t="shared" si="13"/>
        <v>#VALUE!</v>
      </c>
      <c r="E64" s="741"/>
      <c r="F64" s="1810"/>
      <c r="G64" s="1059" t="str">
        <f t="shared" si="18"/>
        <v>——</v>
      </c>
      <c r="H64" s="1062" t="str">
        <f t="shared" si="14"/>
        <v>——</v>
      </c>
      <c r="I64" s="3363">
        <v>0.05</v>
      </c>
      <c r="J64" s="1060" t="e">
        <f t="shared" si="15"/>
        <v>#VALUE!</v>
      </c>
      <c r="K64" s="1060" t="e">
        <f t="shared" si="16"/>
        <v>#VALUE!</v>
      </c>
      <c r="L64" s="1060">
        <v>0</v>
      </c>
      <c r="M64" s="1060" t="e">
        <f t="shared" si="17"/>
        <v>#VALUE!</v>
      </c>
      <c r="N64" s="1060" t="e">
        <f t="shared" si="17"/>
        <v>#VALUE!</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t="e">
        <f t="shared" si="13"/>
        <v>#VALUE!</v>
      </c>
      <c r="E65" s="741"/>
      <c r="F65" s="1810"/>
      <c r="G65" s="1059" t="str">
        <f t="shared" si="18"/>
        <v>——</v>
      </c>
      <c r="H65" s="1062" t="str">
        <f t="shared" si="14"/>
        <v>——</v>
      </c>
      <c r="I65" s="3363">
        <v>0.05</v>
      </c>
      <c r="J65" s="1060" t="e">
        <f t="shared" si="15"/>
        <v>#VALUE!</v>
      </c>
      <c r="K65" s="1060" t="e">
        <f t="shared" si="16"/>
        <v>#VALUE!</v>
      </c>
      <c r="L65" s="1060">
        <v>0</v>
      </c>
      <c r="M65" s="1060" t="e">
        <f t="shared" si="17"/>
        <v>#VALUE!</v>
      </c>
      <c r="N65" s="1060" t="e">
        <f t="shared" si="17"/>
        <v>#VALUE!</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t="e">
        <f t="shared" si="13"/>
        <v>#VALUE!</v>
      </c>
      <c r="E66" s="741"/>
      <c r="F66" s="1810"/>
      <c r="G66" s="1059" t="str">
        <f t="shared" si="18"/>
        <v>——</v>
      </c>
      <c r="H66" s="1062" t="str">
        <f t="shared" si="14"/>
        <v>——</v>
      </c>
      <c r="I66" s="3363">
        <v>0.06</v>
      </c>
      <c r="J66" s="1060" t="e">
        <f t="shared" si="15"/>
        <v>#VALUE!</v>
      </c>
      <c r="K66" s="1060" t="e">
        <f t="shared" si="16"/>
        <v>#VALUE!</v>
      </c>
      <c r="L66" s="1060">
        <v>0</v>
      </c>
      <c r="M66" s="1060" t="e">
        <f t="shared" si="17"/>
        <v>#VALUE!</v>
      </c>
      <c r="N66" s="1060" t="e">
        <f t="shared" si="17"/>
        <v>#VALUE!</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t="e">
        <f t="shared" si="13"/>
        <v>#VALUE!</v>
      </c>
      <c r="E67" s="741"/>
      <c r="F67" s="1810"/>
      <c r="G67" s="1059" t="str">
        <f t="shared" si="18"/>
        <v>——</v>
      </c>
      <c r="H67" s="1062" t="str">
        <f t="shared" si="14"/>
        <v>——</v>
      </c>
      <c r="I67" s="3363">
        <v>0.06</v>
      </c>
      <c r="J67" s="1060" t="e">
        <f t="shared" si="15"/>
        <v>#VALUE!</v>
      </c>
      <c r="K67" s="1060" t="e">
        <f t="shared" si="16"/>
        <v>#VALUE!</v>
      </c>
      <c r="L67" s="1060">
        <v>0</v>
      </c>
      <c r="M67" s="1060" t="e">
        <f t="shared" si="17"/>
        <v>#VALUE!</v>
      </c>
      <c r="N67" s="1060" t="e">
        <f t="shared" si="17"/>
        <v>#VALUE!</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t="e">
        <f t="shared" si="13"/>
        <v>#VALUE!</v>
      </c>
      <c r="E68" s="741"/>
      <c r="F68" s="1810"/>
      <c r="G68" s="1059" t="str">
        <f t="shared" si="18"/>
        <v>——</v>
      </c>
      <c r="H68" s="1062" t="str">
        <f t="shared" si="14"/>
        <v>——</v>
      </c>
      <c r="I68" s="3363">
        <v>0.09</v>
      </c>
      <c r="J68" s="1060" t="e">
        <f t="shared" si="15"/>
        <v>#VALUE!</v>
      </c>
      <c r="K68" s="1060" t="e">
        <f t="shared" si="16"/>
        <v>#VALUE!</v>
      </c>
      <c r="L68" s="1060">
        <v>0</v>
      </c>
      <c r="M68" s="1060" t="e">
        <f t="shared" si="17"/>
        <v>#VALUE!</v>
      </c>
      <c r="N68" s="1060" t="e">
        <f t="shared" si="17"/>
        <v>#VALUE!</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t="e">
        <f t="shared" si="13"/>
        <v>#VALUE!</v>
      </c>
      <c r="E69" s="742"/>
      <c r="F69" s="1810"/>
      <c r="G69" s="1059" t="str">
        <f t="shared" si="18"/>
        <v>——</v>
      </c>
      <c r="H69" s="1062" t="str">
        <f t="shared" si="14"/>
        <v>——</v>
      </c>
      <c r="I69" s="3364">
        <v>7.0000000000000007E-2</v>
      </c>
      <c r="J69" s="1060" t="e">
        <f t="shared" si="15"/>
        <v>#VALUE!</v>
      </c>
      <c r="K69" s="1060" t="e">
        <f t="shared" si="16"/>
        <v>#VALUE!</v>
      </c>
      <c r="L69" s="1060">
        <v>0</v>
      </c>
      <c r="M69" s="1060" t="e">
        <f t="shared" si="17"/>
        <v>#VALUE!</v>
      </c>
      <c r="N69" s="1060" t="e">
        <f t="shared" si="17"/>
        <v>#VALUE!</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f>1+E83</f>
        <v>1.0266999999999999</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f t="shared" ref="D83:D90" si="24">SUMIF($J$82:$N$82,C83,J83:N83)</f>
        <v>1.9300000000000001E-2</v>
      </c>
      <c r="E83" s="740">
        <f>ROUND(SUM(D83:D90),4)</f>
        <v>2.6700000000000002E-2</v>
      </c>
      <c r="F83" s="1810">
        <f>IF(E2="工业",SUMIF(L1:L12,G2,N1:N12),"——")</f>
        <v>0.14899999999999999</v>
      </c>
      <c r="G83" s="1059">
        <f>H83</f>
        <v>1.9300000000000001E-2</v>
      </c>
      <c r="H83" s="1062">
        <f t="shared" ref="H83:H90" si="25">IFERROR(ROUNDDOWN($F$83*I83/2,4),"——")</f>
        <v>1.9300000000000001E-2</v>
      </c>
      <c r="I83" s="3363">
        <v>0.26</v>
      </c>
      <c r="J83" s="1060">
        <f t="shared" ref="J83:J90" si="26">K83+$G83</f>
        <v>3.8600000000000002E-2</v>
      </c>
      <c r="K83" s="1060">
        <f t="shared" ref="K83:K90" si="27">$L83+$G83</f>
        <v>1.9300000000000001E-2</v>
      </c>
      <c r="L83" s="1060">
        <v>0</v>
      </c>
      <c r="M83" s="1060">
        <f t="shared" ref="M83:N90" si="28">L83-$G83</f>
        <v>-1.9300000000000001E-2</v>
      </c>
      <c r="N83" s="1060">
        <f t="shared" si="28"/>
        <v>-3.8600000000000002E-2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f t="shared" ref="G84:G90" si="29">H84</f>
        <v>2.23E-2</v>
      </c>
      <c r="H84" s="1062">
        <f t="shared" si="25"/>
        <v>2.23E-2</v>
      </c>
      <c r="I84" s="3363">
        <v>0.3</v>
      </c>
      <c r="J84" s="1060">
        <f t="shared" si="26"/>
        <v>4.4600000000000001E-2</v>
      </c>
      <c r="K84" s="1060">
        <f t="shared" si="27"/>
        <v>2.23E-2</v>
      </c>
      <c r="L84" s="1060">
        <v>0</v>
      </c>
      <c r="M84" s="1060">
        <f t="shared" si="28"/>
        <v>-2.23E-2</v>
      </c>
      <c r="N84" s="1060">
        <f t="shared" si="28"/>
        <v>-4.4600000000000001E-2</v>
      </c>
      <c r="Z84" s="1994"/>
      <c r="AA84" s="2049"/>
      <c r="AG84" s="1117"/>
      <c r="AK84" s="2049"/>
    </row>
    <row r="85" spans="1:37" ht="36">
      <c r="A85" s="3365" t="s">
        <v>3268</v>
      </c>
      <c r="B85" s="2130">
        <f>估价对象房地状况!G17</f>
        <v>0</v>
      </c>
      <c r="C85" s="2040" t="s">
        <v>3399</v>
      </c>
      <c r="D85" s="1061">
        <f t="shared" si="24"/>
        <v>7.4000000000000003E-3</v>
      </c>
      <c r="E85" s="743"/>
      <c r="F85" s="1810"/>
      <c r="G85" s="1059">
        <f t="shared" si="29"/>
        <v>7.4000000000000003E-3</v>
      </c>
      <c r="H85" s="1062">
        <f t="shared" si="25"/>
        <v>7.4000000000000003E-3</v>
      </c>
      <c r="I85" s="3363">
        <v>0.1</v>
      </c>
      <c r="J85" s="1060">
        <f t="shared" si="26"/>
        <v>1.4800000000000001E-2</v>
      </c>
      <c r="K85" s="1060">
        <f t="shared" si="27"/>
        <v>7.4000000000000003E-3</v>
      </c>
      <c r="L85" s="1060">
        <v>0</v>
      </c>
      <c r="M85" s="1060">
        <f t="shared" si="28"/>
        <v>-7.4000000000000003E-3</v>
      </c>
      <c r="N85" s="1060">
        <f t="shared" si="28"/>
        <v>-1.4800000000000001E-2</v>
      </c>
      <c r="Z85" s="1994"/>
      <c r="AA85" s="2049"/>
      <c r="AG85" s="1117"/>
      <c r="AK85" s="2049"/>
    </row>
    <row r="86" spans="1:37" ht="14.25">
      <c r="A86" s="2126" t="s">
        <v>2063</v>
      </c>
      <c r="B86" s="2130">
        <f>估价对象房地状况!G22</f>
        <v>0</v>
      </c>
      <c r="C86" s="2040" t="s">
        <v>3401</v>
      </c>
      <c r="D86" s="1061">
        <f t="shared" si="24"/>
        <v>-3.7000000000000002E-3</v>
      </c>
      <c r="E86" s="743"/>
      <c r="F86" s="1810"/>
      <c r="G86" s="1059">
        <f t="shared" si="29"/>
        <v>3.7000000000000002E-3</v>
      </c>
      <c r="H86" s="1062">
        <f t="shared" si="25"/>
        <v>3.7000000000000002E-3</v>
      </c>
      <c r="I86" s="3363">
        <v>0.05</v>
      </c>
      <c r="J86" s="1060">
        <f t="shared" si="26"/>
        <v>7.4000000000000003E-3</v>
      </c>
      <c r="K86" s="1060">
        <f t="shared" si="27"/>
        <v>3.7000000000000002E-3</v>
      </c>
      <c r="L86" s="1060">
        <v>0</v>
      </c>
      <c r="M86" s="1060">
        <f t="shared" si="28"/>
        <v>-3.7000000000000002E-3</v>
      </c>
      <c r="N86" s="1060">
        <f t="shared" si="28"/>
        <v>-7.4000000000000003E-3</v>
      </c>
      <c r="Z86" s="1994"/>
      <c r="AA86" s="2049"/>
      <c r="AG86" s="1117"/>
      <c r="AK86" s="2049"/>
    </row>
    <row r="87" spans="1:37" ht="25.5">
      <c r="A87" s="2126" t="s">
        <v>2055</v>
      </c>
      <c r="B87" s="1322" t="str">
        <f>估价对象房地状况!G19</f>
        <v>估价对象所在区域公共配套设施齐备情况</v>
      </c>
      <c r="C87" s="2040" t="s">
        <v>3401</v>
      </c>
      <c r="D87" s="1061">
        <f t="shared" si="24"/>
        <v>-4.4000000000000003E-3</v>
      </c>
      <c r="E87" s="743"/>
      <c r="F87" s="1810"/>
      <c r="G87" s="1059">
        <f t="shared" si="29"/>
        <v>4.4000000000000003E-3</v>
      </c>
      <c r="H87" s="1062">
        <f t="shared" si="25"/>
        <v>4.4000000000000003E-3</v>
      </c>
      <c r="I87" s="3363">
        <v>0.06</v>
      </c>
      <c r="J87" s="1060">
        <f t="shared" si="26"/>
        <v>8.8000000000000005E-3</v>
      </c>
      <c r="K87" s="1060">
        <f t="shared" si="27"/>
        <v>4.4000000000000003E-3</v>
      </c>
      <c r="L87" s="1060">
        <v>0</v>
      </c>
      <c r="M87" s="1060">
        <f t="shared" si="28"/>
        <v>-4.4000000000000003E-3</v>
      </c>
      <c r="N87" s="1060">
        <f t="shared" si="28"/>
        <v>-8.8000000000000005E-3</v>
      </c>
    </row>
    <row r="88" spans="1:37" ht="25.5">
      <c r="A88" s="2126" t="s">
        <v>2056</v>
      </c>
      <c r="B88" s="1322" t="str">
        <f>估价对象房地状况!G20</f>
        <v>估价对象所在区域基础设施水平</v>
      </c>
      <c r="C88" s="2040" t="s">
        <v>3400</v>
      </c>
      <c r="D88" s="1061">
        <f t="shared" si="24"/>
        <v>0</v>
      </c>
      <c r="E88" s="743"/>
      <c r="F88" s="1810"/>
      <c r="G88" s="1059">
        <f t="shared" si="29"/>
        <v>8.8999999999999999E-3</v>
      </c>
      <c r="H88" s="1062">
        <f t="shared" si="25"/>
        <v>8.8999999999999999E-3</v>
      </c>
      <c r="I88" s="3363">
        <v>0.12</v>
      </c>
      <c r="J88" s="1060">
        <f t="shared" si="26"/>
        <v>1.78E-2</v>
      </c>
      <c r="K88" s="1060">
        <f t="shared" si="27"/>
        <v>8.8999999999999999E-3</v>
      </c>
      <c r="L88" s="1060">
        <v>0</v>
      </c>
      <c r="M88" s="1060">
        <f t="shared" si="28"/>
        <v>-8.8999999999999999E-3</v>
      </c>
      <c r="N88" s="1060">
        <f t="shared" si="28"/>
        <v>-1.78E-2</v>
      </c>
    </row>
    <row r="89" spans="1:37" ht="24">
      <c r="A89" s="2126" t="s">
        <v>2053</v>
      </c>
      <c r="B89" s="2132" t="s">
        <v>2067</v>
      </c>
      <c r="C89" s="2040" t="s">
        <v>3399</v>
      </c>
      <c r="D89" s="1061">
        <f t="shared" si="24"/>
        <v>4.4000000000000003E-3</v>
      </c>
      <c r="E89" s="743"/>
      <c r="F89" s="1810"/>
      <c r="G89" s="1059">
        <f t="shared" si="29"/>
        <v>4.4000000000000003E-3</v>
      </c>
      <c r="H89" s="1062">
        <f t="shared" si="25"/>
        <v>4.4000000000000003E-3</v>
      </c>
      <c r="I89" s="3363">
        <v>0.06</v>
      </c>
      <c r="J89" s="1060">
        <f t="shared" si="26"/>
        <v>8.8000000000000005E-3</v>
      </c>
      <c r="K89" s="1060">
        <f t="shared" si="27"/>
        <v>4.4000000000000003E-3</v>
      </c>
      <c r="L89" s="1060">
        <v>0</v>
      </c>
      <c r="M89" s="1060">
        <f t="shared" si="28"/>
        <v>-4.4000000000000003E-3</v>
      </c>
      <c r="N89" s="1060">
        <f t="shared" si="28"/>
        <v>-8.8000000000000005E-3</v>
      </c>
    </row>
    <row r="90" spans="1:37" ht="39" thickBot="1">
      <c r="A90" s="2134" t="s">
        <v>2068</v>
      </c>
      <c r="B90" s="2139" t="str">
        <f>估价对象房地状况!G18</f>
        <v>该园区内是否有污染型企业，绿化情况，卫生条件，整体环境状况判断</v>
      </c>
      <c r="C90" s="2040" t="s">
        <v>3399</v>
      </c>
      <c r="D90" s="1061">
        <f t="shared" si="24"/>
        <v>3.7000000000000002E-3</v>
      </c>
      <c r="E90" s="744"/>
      <c r="F90" s="1810"/>
      <c r="G90" s="1059">
        <f t="shared" si="29"/>
        <v>3.7000000000000002E-3</v>
      </c>
      <c r="H90" s="1062">
        <f t="shared" si="25"/>
        <v>3.7000000000000002E-3</v>
      </c>
      <c r="I90" s="3364">
        <v>0.05</v>
      </c>
      <c r="J90" s="1060">
        <f t="shared" si="26"/>
        <v>7.4000000000000003E-3</v>
      </c>
      <c r="K90" s="1060">
        <f t="shared" si="27"/>
        <v>3.7000000000000002E-3</v>
      </c>
      <c r="L90" s="1060">
        <v>0</v>
      </c>
      <c r="M90" s="1060">
        <f t="shared" si="28"/>
        <v>-3.7000000000000002E-3</v>
      </c>
      <c r="N90" s="1060">
        <f t="shared" si="28"/>
        <v>-7.4000000000000003E-3</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8" t="s">
        <v>3292</v>
      </c>
      <c r="B103" s="3808"/>
      <c r="C103" s="3808"/>
      <c r="D103" s="3808"/>
      <c r="E103" s="3808"/>
      <c r="F103" s="3808"/>
      <c r="G103" s="3808"/>
      <c r="H103" s="3808"/>
      <c r="I103" s="3808"/>
      <c r="J103" s="3808"/>
      <c r="K103" s="3386"/>
      <c r="L103" s="3386"/>
      <c r="M103" s="3386"/>
      <c r="N103" s="3386"/>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5"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6"/>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7"/>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8" t="s">
        <v>3309</v>
      </c>
      <c r="B113" s="3798"/>
      <c r="C113" s="3798"/>
      <c r="D113" s="3798"/>
      <c r="E113" s="3798"/>
      <c r="F113" s="3798"/>
      <c r="G113" s="3798"/>
      <c r="H113" s="3798"/>
      <c r="I113" s="3798"/>
      <c r="J113" s="37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1</v>
      </c>
      <c r="C116" s="3396" t="s">
        <v>3311</v>
      </c>
      <c r="D116" s="3397">
        <f>SUMPRODUCT((A118:A122=F116)*(B117:M117=H116)*B118:M122)</f>
        <v>0.57150000000000001</v>
      </c>
      <c r="E116" s="1996" t="s">
        <v>3312</v>
      </c>
      <c r="F116" s="3398" t="str">
        <f>E2</f>
        <v>工业</v>
      </c>
      <c r="G116" s="1996" t="s">
        <v>3313</v>
      </c>
      <c r="H116" s="3398" t="str">
        <f>G2</f>
        <v>九级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8">I118</f>
        <v>0.8306</v>
      </c>
      <c r="K118" s="3384">
        <f t="shared" si="38"/>
        <v>0.8306</v>
      </c>
      <c r="L118" s="3384">
        <f t="shared" si="38"/>
        <v>0.8306</v>
      </c>
      <c r="M118" s="3407">
        <f t="shared" si="38"/>
        <v>0.8306</v>
      </c>
      <c r="N118" s="3394"/>
    </row>
    <row r="119" spans="1:14">
      <c r="A119" s="3406" t="s">
        <v>3327</v>
      </c>
      <c r="B119" s="3384">
        <f>ROUND(0.993-0.0112*B116,4)</f>
        <v>0.98180000000000001</v>
      </c>
      <c r="C119" s="3384">
        <f>B119</f>
        <v>0.98180000000000001</v>
      </c>
      <c r="D119" s="3384">
        <f>ROUND(0.9415-0.0142*B116,4)</f>
        <v>0.92730000000000001</v>
      </c>
      <c r="E119" s="3384">
        <f t="shared" ref="E119:H120" si="39">D119</f>
        <v>0.92730000000000001</v>
      </c>
      <c r="F119" s="3384">
        <f t="shared" si="39"/>
        <v>0.92730000000000001</v>
      </c>
      <c r="G119" s="3384">
        <f t="shared" si="39"/>
        <v>0.92730000000000001</v>
      </c>
      <c r="H119" s="3384">
        <f t="shared" si="39"/>
        <v>0.92730000000000001</v>
      </c>
      <c r="I119" s="3384">
        <f>ROUND(0.838-0.0182*B116,4)</f>
        <v>0.81979999999999997</v>
      </c>
      <c r="J119" s="3384">
        <f t="shared" si="38"/>
        <v>0.81979999999999997</v>
      </c>
      <c r="K119" s="3384">
        <f t="shared" si="38"/>
        <v>0.81979999999999997</v>
      </c>
      <c r="L119" s="3384">
        <f t="shared" si="38"/>
        <v>0.81979999999999997</v>
      </c>
      <c r="M119" s="3407">
        <f t="shared" si="38"/>
        <v>0.81979999999999997</v>
      </c>
      <c r="N119" s="3394"/>
    </row>
    <row r="120" spans="1:14">
      <c r="A120" s="3406" t="s">
        <v>3328</v>
      </c>
      <c r="B120" s="3384">
        <f>ROUND(0.9448-0.0115*B116,4)</f>
        <v>0.93330000000000002</v>
      </c>
      <c r="C120" s="3384">
        <f>B120</f>
        <v>0.93330000000000002</v>
      </c>
      <c r="D120" s="3384">
        <f>ROUND(0.937-0.0145*B116,4)</f>
        <v>0.92249999999999999</v>
      </c>
      <c r="E120" s="3384">
        <f t="shared" si="39"/>
        <v>0.92249999999999999</v>
      </c>
      <c r="F120" s="3384">
        <f t="shared" si="39"/>
        <v>0.92249999999999999</v>
      </c>
      <c r="G120" s="3384">
        <f t="shared" si="39"/>
        <v>0.92249999999999999</v>
      </c>
      <c r="H120" s="3384">
        <f t="shared" si="39"/>
        <v>0.92249999999999999</v>
      </c>
      <c r="I120" s="3384">
        <f>ROUND(0.7965-0.0185*B116,4)</f>
        <v>0.77800000000000002</v>
      </c>
      <c r="J120" s="3384">
        <f t="shared" si="38"/>
        <v>0.77800000000000002</v>
      </c>
      <c r="K120" s="3384">
        <f t="shared" si="38"/>
        <v>0.77800000000000002</v>
      </c>
      <c r="L120" s="3384">
        <f t="shared" si="38"/>
        <v>0.77800000000000002</v>
      </c>
      <c r="M120" s="3407">
        <f t="shared" si="38"/>
        <v>0.77800000000000002</v>
      </c>
      <c r="N120" s="3394"/>
    </row>
    <row r="121" spans="1:14" ht="13.5" thickBot="1">
      <c r="A121" s="3408" t="s">
        <v>3329</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8"/>
        <v>0.57150000000000001</v>
      </c>
      <c r="K121" s="3409">
        <f t="shared" si="38"/>
        <v>0.57150000000000001</v>
      </c>
      <c r="L121" s="3409">
        <f t="shared" si="38"/>
        <v>0.57150000000000001</v>
      </c>
      <c r="M121" s="3410">
        <f t="shared" si="38"/>
        <v>0.57150000000000001</v>
      </c>
      <c r="N121" s="3394"/>
    </row>
    <row r="122" spans="1:14">
      <c r="A122" s="3411" t="s">
        <v>2611</v>
      </c>
      <c r="B122" s="3384">
        <f>ROUND(0.9404-0.0106*B116,4)</f>
        <v>0.92979999999999996</v>
      </c>
      <c r="C122" s="3384">
        <f>B122</f>
        <v>0.92979999999999996</v>
      </c>
      <c r="D122" s="3384">
        <f>ROUND(0.8955-0.0135*B116,4)</f>
        <v>0.88200000000000001</v>
      </c>
      <c r="E122" s="3384">
        <f t="shared" ref="E122:H122" si="40">D122</f>
        <v>0.88200000000000001</v>
      </c>
      <c r="F122" s="3384">
        <f t="shared" si="40"/>
        <v>0.88200000000000001</v>
      </c>
      <c r="G122" s="3384">
        <f t="shared" si="40"/>
        <v>0.88200000000000001</v>
      </c>
      <c r="H122" s="3384">
        <f t="shared" si="40"/>
        <v>0.88200000000000001</v>
      </c>
      <c r="I122" s="3384">
        <f>ROUND(0.7632-0.0166*B116,4)</f>
        <v>0.74660000000000004</v>
      </c>
      <c r="J122" s="3384">
        <f t="shared" si="38"/>
        <v>0.74660000000000004</v>
      </c>
      <c r="K122" s="3384">
        <f t="shared" si="38"/>
        <v>0.74660000000000004</v>
      </c>
      <c r="L122" s="3384">
        <f t="shared" si="38"/>
        <v>0.74660000000000004</v>
      </c>
      <c r="M122" s="3407">
        <f t="shared" si="38"/>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K34" sqref="K34:K3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0</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t="e">
        <f>C30</f>
        <v>#DIV/0!</v>
      </c>
      <c r="C2" s="1995" t="s">
        <v>1931</v>
      </c>
      <c r="D2" s="1996" t="s">
        <v>1932</v>
      </c>
      <c r="E2" s="3418" t="s">
        <v>672</v>
      </c>
      <c r="F2" s="1996" t="s">
        <v>1933</v>
      </c>
      <c r="G2" s="1997">
        <f>IF(E2="商业",项目基本情况!B37,IF(E2="办公",项目基本情况!C37,IF(E2="住宅",项目基本情况!D37,IF(E2="工业",项目基本情况!E37,项目基本情况!F37))))</f>
        <v>0</v>
      </c>
      <c r="H2" s="1996" t="s">
        <v>1934</v>
      </c>
      <c r="I2" s="1997">
        <f>IF(E2="商业",项目基本情况!B38,IF(E2="办公",项目基本情况!C38,IF(E2="住宅",项目基本情况!D38,IF(E2="工业",项目基本情况!E38,项目基本情况!F38))))</f>
        <v>0</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0</v>
      </c>
      <c r="T2" s="3357" t="e">
        <f t="shared" ref="T2:T16" si="0">ROUND($C$5*$C$22*$C$23*$C$24*S2*$C$28,0)</f>
        <v>#DIV/0!</v>
      </c>
      <c r="U2" s="1209">
        <f>'数据-汇总表'!F20/2</f>
        <v>0</v>
      </c>
      <c r="V2" s="3357" t="e">
        <f>ROUND(T2*U2/10000,0)</f>
        <v>#DIV/0!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5" t="s">
        <v>1937</v>
      </c>
      <c r="D3" s="1996" t="s">
        <v>1938</v>
      </c>
      <c r="E3" s="3416" t="s">
        <v>2438</v>
      </c>
      <c r="F3" s="2000" t="s">
        <v>3457</v>
      </c>
      <c r="G3" s="748">
        <f>IF(F3="宗地容积率",'数据-汇总表'!I4,IF(F3="估价对象容积率",'数据-汇总表'!I6,'数据-汇总表'!I7))</f>
        <v>0.27</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0</v>
      </c>
      <c r="T3" s="3357" t="e">
        <f t="shared" si="0"/>
        <v>#DIV/0!</v>
      </c>
      <c r="U3" s="1209">
        <f>U2</f>
        <v>0</v>
      </c>
      <c r="V3" s="3357" t="e">
        <f t="shared" ref="V3:V16" si="1">ROUND(T3*U3/10000,0)</f>
        <v>#DIV/0!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t="e">
        <f>ROUND(IF(E2="商业",C6*C7*C17+C20,(IF(E2="住宅",C6*C13*C17+C20,IF(E2="办公",C6*C12*C17+C20,C6+C20)))),0)</f>
        <v>#DIV/0!</v>
      </c>
      <c r="D5" s="1335" t="e">
        <f>ROUND(C6*C17+C20,0)</f>
        <v>#DIV/0!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t="e">
        <f t="shared" si="0"/>
        <v>#DIV/0!</v>
      </c>
      <c r="U7" s="1209"/>
      <c r="V7" s="3357" t="e">
        <f t="shared" si="1"/>
        <v>#DIV/0!</v>
      </c>
      <c r="W7" s="3502" t="s">
        <v>1951</v>
      </c>
      <c r="X7" s="1210">
        <f>G2</f>
        <v>0</v>
      </c>
      <c r="Y7" s="1210" t="s">
        <v>1952</v>
      </c>
      <c r="Z7" s="1211">
        <f>G3</f>
        <v>0.27</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t="e">
        <f t="shared" si="0"/>
        <v>#DIV/0!</v>
      </c>
      <c r="U8" s="1209"/>
      <c r="V8" s="3357" t="e">
        <f t="shared" si="1"/>
        <v>#DIV/0!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t="e">
        <f t="shared" si="0"/>
        <v>#DIV/0!</v>
      </c>
      <c r="U9" s="1209"/>
      <c r="V9" s="3357" t="e">
        <f t="shared" si="1"/>
        <v>#DIV/0!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t="e">
        <f t="shared" si="0"/>
        <v>#DIV/0!</v>
      </c>
      <c r="U10" s="1209"/>
      <c r="V10" s="3357" t="e">
        <f t="shared" si="1"/>
        <v>#DIV/0!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t="e">
        <f>ROUND(IF(F21="与级别开发程度一致",0,(G21-E21)/C21),0)</f>
        <v>#DIV/0!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3470</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t="e">
        <f>ROUND(POWER(1+G24,J24-I24)*(POWER(1+G24,I24)-1)/(POWER(1+G24,J24)-1),4)</f>
        <v>#DIV/0!</v>
      </c>
      <c r="D24" s="2056" t="s">
        <v>2003</v>
      </c>
      <c r="E24" s="1331">
        <f>存贷款利率!E24/100</f>
        <v>4.3499999999999997E-2</v>
      </c>
      <c r="F24" s="2056" t="s">
        <v>1995</v>
      </c>
      <c r="G24" s="764">
        <f>SUMIF(M30:Q30,E2,M33:Q33)</f>
        <v>5.5E-2</v>
      </c>
      <c r="H24" s="2056" t="s">
        <v>2004</v>
      </c>
      <c r="I24" s="765" t="e">
        <f>SUMIF('数据-取费表'!C6:C15,E2,'数据-取费表'!F6:F15)/COUNTIF('数据-取费表'!C6:C15,E2)</f>
        <v>#DIV/0!</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v>
      </c>
      <c r="E26" s="748">
        <f>ROUNDDOWN(G3,1)</f>
        <v>0.2</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0.30000000000000004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t="e">
        <f>IF(B25="容积率修正",E33+SUM(E37:E42),SUM(V2:V16)+SUM(E37:E42))</f>
        <v>#DIV/0!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t="e">
        <f>E34+SUM(I37:I42)</f>
        <v>#DIV/0!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t="e">
        <f>ROUND(C5*C22*C23*C24*C25*C28,0)</f>
        <v>#DIV/0!</v>
      </c>
      <c r="D33" s="2094">
        <f>'数据-汇总表'!F20</f>
        <v>0</v>
      </c>
      <c r="E33" s="769" t="e">
        <f>ROUND(C33*D33/10000,0)</f>
        <v>#DIV/0!</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t="e">
        <f>ROUND(IF(E2="工业",C33*M42,IF(B25="楼层修正",SUM(V2:V16)*M41*10000/D34,C33*M41)),0)</f>
        <v>#DIV/0!</v>
      </c>
      <c r="D34" s="2099"/>
      <c r="E34" s="769" t="e">
        <f>ROUND(IF(B25="楼层修正",SUM(V2:V16)*M40,C34*D34/10000),0)</f>
        <v>#DIV/0!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t="e">
        <f>ROUND(D5*C22*C23*C24*C28*F37,0)</f>
        <v>#DIV/0!</v>
      </c>
      <c r="D37" s="2094">
        <f>'数据-基础表'!O15</f>
        <v>0</v>
      </c>
      <c r="E37" s="171" t="e">
        <f>ROUND(C37*D37/10000,0)</f>
        <v>#DIV/0!</v>
      </c>
      <c r="F37" s="171">
        <f>SUMIF(修正!A57:A68,G2,修正!B57:B68)</f>
        <v>0</v>
      </c>
      <c r="G37" s="171" t="e">
        <f>ROUND(IF(E2="工业",C37*$M$42,C37*$M$41),0)</f>
        <v>#DIV/0!</v>
      </c>
      <c r="H37" s="171">
        <f>D37</f>
        <v>0</v>
      </c>
      <c r="I37" s="171" t="e">
        <f>ROUND(G37*H37/10000,0)</f>
        <v>#DIV/0!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t="e">
        <f>ROUND(D5*C22*C23*C44*C28*F42,0)</f>
        <v>#DIV/0!</v>
      </c>
      <c r="D42" s="2099"/>
      <c r="E42" s="187" t="e">
        <f t="shared" si="4"/>
        <v>#DIV/0!</v>
      </c>
      <c r="F42" s="763">
        <f>SUMIF(修正!A57:A68,G2,修正!G57:G68)</f>
        <v>0</v>
      </c>
      <c r="G42" s="187" t="e">
        <f>ROUND(IF(E2="工业",C42*$M$42,C42*$M$41),0)</f>
        <v>#DIV/0!</v>
      </c>
      <c r="H42" s="187">
        <f t="shared" si="5"/>
        <v>0</v>
      </c>
      <c r="I42" s="187" t="e">
        <f t="shared" si="6"/>
        <v>#DIV/0!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t="e">
        <f>ROUND(POWER(1+E44,H44-G44)*(POWER(1+E44,G44)-1)/(POWER(1+E44,H44)-1),4)</f>
        <v>#VALUE!</v>
      </c>
      <c r="D44" s="171" t="s">
        <v>1995</v>
      </c>
      <c r="E44" s="2149">
        <f>G24</f>
        <v>5.5E-2</v>
      </c>
      <c r="F44" s="171" t="s">
        <v>2004</v>
      </c>
      <c r="G44" s="183" t="str">
        <f>项目基本情况!F15</f>
        <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0</v>
      </c>
      <c r="F50" s="1810">
        <f>IF(E2="商业",SUMIF(L1:L12,G2,N1:N12),"——")</f>
        <v>0</v>
      </c>
      <c r="G50" s="1059">
        <f t="shared" ref="G50:G58" si="8">H50</f>
        <v>0</v>
      </c>
      <c r="H50" s="1062">
        <f t="shared" ref="H50:H58" si="9">IFERROR(ROUNDDOWN($F$50*I50/2,4),"——")</f>
        <v>0</v>
      </c>
      <c r="I50" s="3363">
        <v>0.3</v>
      </c>
      <c r="J50" s="1060">
        <f t="shared" ref="J50:J58" si="10">K50+$G50</f>
        <v>0</v>
      </c>
      <c r="K50" s="1060">
        <f t="shared" ref="K50:K58" si="11">$L50+$G50</f>
        <v>0</v>
      </c>
      <c r="L50" s="1060">
        <v>0</v>
      </c>
      <c r="M50" s="1060">
        <f t="shared" ref="M50:N58" si="12">L50-$G50</f>
        <v>0</v>
      </c>
      <c r="N50" s="1060">
        <f t="shared" si="12"/>
        <v>0</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0</v>
      </c>
      <c r="E51" s="741"/>
      <c r="F51" s="1810"/>
      <c r="G51" s="1059">
        <f t="shared" si="8"/>
        <v>0</v>
      </c>
      <c r="H51" s="1062">
        <f t="shared" si="9"/>
        <v>0</v>
      </c>
      <c r="I51" s="3363">
        <v>0.22</v>
      </c>
      <c r="J51" s="1060">
        <f t="shared" si="10"/>
        <v>0</v>
      </c>
      <c r="K51" s="1060">
        <f t="shared" si="11"/>
        <v>0</v>
      </c>
      <c r="L51" s="1060">
        <v>0</v>
      </c>
      <c r="M51" s="1060">
        <f t="shared" si="12"/>
        <v>0</v>
      </c>
      <c r="N51" s="1060">
        <f t="shared" si="12"/>
        <v>0</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0</v>
      </c>
      <c r="E52" s="741"/>
      <c r="F52" s="1810"/>
      <c r="G52" s="1059">
        <f t="shared" si="8"/>
        <v>0</v>
      </c>
      <c r="H52" s="1062">
        <f t="shared" si="9"/>
        <v>0</v>
      </c>
      <c r="I52" s="3363">
        <v>0.12</v>
      </c>
      <c r="J52" s="1060">
        <f t="shared" si="10"/>
        <v>0</v>
      </c>
      <c r="K52" s="1060">
        <f t="shared" si="11"/>
        <v>0</v>
      </c>
      <c r="L52" s="1060">
        <v>0</v>
      </c>
      <c r="M52" s="1060">
        <f t="shared" si="12"/>
        <v>0</v>
      </c>
      <c r="N52" s="1060">
        <f t="shared" si="12"/>
        <v>0</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0</v>
      </c>
      <c r="E53" s="741"/>
      <c r="F53" s="1810"/>
      <c r="G53" s="1059">
        <f t="shared" si="8"/>
        <v>0</v>
      </c>
      <c r="H53" s="1062">
        <f t="shared" si="9"/>
        <v>0</v>
      </c>
      <c r="I53" s="3363">
        <v>0.05</v>
      </c>
      <c r="J53" s="1060">
        <f t="shared" si="10"/>
        <v>0</v>
      </c>
      <c r="K53" s="1060">
        <f t="shared" si="11"/>
        <v>0</v>
      </c>
      <c r="L53" s="1060">
        <v>0</v>
      </c>
      <c r="M53" s="1060">
        <f t="shared" si="12"/>
        <v>0</v>
      </c>
      <c r="N53" s="1060">
        <f t="shared" si="12"/>
        <v>0</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0</v>
      </c>
      <c r="E54" s="741"/>
      <c r="F54" s="1810"/>
      <c r="G54" s="1059">
        <f t="shared" si="8"/>
        <v>0</v>
      </c>
      <c r="H54" s="1062">
        <f t="shared" si="9"/>
        <v>0</v>
      </c>
      <c r="I54" s="3363">
        <v>0.08</v>
      </c>
      <c r="J54" s="1060">
        <f t="shared" si="10"/>
        <v>0</v>
      </c>
      <c r="K54" s="1060">
        <f t="shared" si="11"/>
        <v>0</v>
      </c>
      <c r="L54" s="1060">
        <v>0</v>
      </c>
      <c r="M54" s="1060">
        <f t="shared" si="12"/>
        <v>0</v>
      </c>
      <c r="N54" s="1060">
        <f t="shared" si="12"/>
        <v>0</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0</v>
      </c>
      <c r="E55" s="741"/>
      <c r="F55" s="1810"/>
      <c r="G55" s="1059">
        <f t="shared" si="8"/>
        <v>0</v>
      </c>
      <c r="H55" s="1062">
        <f t="shared" si="9"/>
        <v>0</v>
      </c>
      <c r="I55" s="3363">
        <v>0.05</v>
      </c>
      <c r="J55" s="1060">
        <f t="shared" si="10"/>
        <v>0</v>
      </c>
      <c r="K55" s="1060">
        <f t="shared" si="11"/>
        <v>0</v>
      </c>
      <c r="L55" s="1060">
        <v>0</v>
      </c>
      <c r="M55" s="1060">
        <f t="shared" si="12"/>
        <v>0</v>
      </c>
      <c r="N55" s="1060">
        <f t="shared" si="12"/>
        <v>0</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0</v>
      </c>
      <c r="E56" s="741"/>
      <c r="F56" s="1810"/>
      <c r="G56" s="1059">
        <f t="shared" si="8"/>
        <v>0</v>
      </c>
      <c r="H56" s="1062">
        <f t="shared" si="9"/>
        <v>0</v>
      </c>
      <c r="I56" s="3363">
        <v>0.05</v>
      </c>
      <c r="J56" s="1060">
        <f t="shared" si="10"/>
        <v>0</v>
      </c>
      <c r="K56" s="1060">
        <f t="shared" si="11"/>
        <v>0</v>
      </c>
      <c r="L56" s="1060">
        <v>0</v>
      </c>
      <c r="M56" s="1060">
        <f t="shared" si="12"/>
        <v>0</v>
      </c>
      <c r="N56" s="1060">
        <f t="shared" si="12"/>
        <v>0</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0</v>
      </c>
      <c r="E57" s="741"/>
      <c r="F57" s="1810"/>
      <c r="G57" s="1059">
        <f t="shared" si="8"/>
        <v>0</v>
      </c>
      <c r="H57" s="1062">
        <f t="shared" si="9"/>
        <v>0</v>
      </c>
      <c r="I57" s="3363">
        <v>0.08</v>
      </c>
      <c r="J57" s="1060">
        <f t="shared" si="10"/>
        <v>0</v>
      </c>
      <c r="K57" s="1060">
        <f t="shared" si="11"/>
        <v>0</v>
      </c>
      <c r="L57" s="1060">
        <v>0</v>
      </c>
      <c r="M57" s="1060">
        <f t="shared" si="12"/>
        <v>0</v>
      </c>
      <c r="N57" s="1060">
        <f t="shared" si="12"/>
        <v>0</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0</v>
      </c>
      <c r="E58" s="742"/>
      <c r="F58" s="1810"/>
      <c r="G58" s="1059">
        <f t="shared" si="8"/>
        <v>0</v>
      </c>
      <c r="H58" s="1062">
        <f t="shared" si="9"/>
        <v>0</v>
      </c>
      <c r="I58" s="3364">
        <v>0.05</v>
      </c>
      <c r="J58" s="1060">
        <f t="shared" si="10"/>
        <v>0</v>
      </c>
      <c r="K58" s="1060">
        <f t="shared" si="11"/>
        <v>0</v>
      </c>
      <c r="L58" s="1060">
        <v>0</v>
      </c>
      <c r="M58" s="1060">
        <f t="shared" si="12"/>
        <v>0</v>
      </c>
      <c r="N58" s="1060">
        <f t="shared" si="12"/>
        <v>0</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8" t="s">
        <v>3292</v>
      </c>
      <c r="B103" s="3808"/>
      <c r="C103" s="3808"/>
      <c r="D103" s="3808"/>
      <c r="E103" s="3808"/>
      <c r="F103" s="3808"/>
      <c r="G103" s="3808"/>
      <c r="H103" s="3808"/>
      <c r="I103" s="3808"/>
      <c r="J103" s="3808"/>
      <c r="K103" s="3503"/>
      <c r="L103" s="3503"/>
      <c r="M103" s="3503"/>
      <c r="N103" s="3503"/>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5"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6"/>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6"/>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6"/>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6"/>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6"/>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7"/>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8" t="s">
        <v>3309</v>
      </c>
      <c r="B113" s="3798"/>
      <c r="C113" s="3798"/>
      <c r="D113" s="3798"/>
      <c r="E113" s="3798"/>
      <c r="F113" s="3798"/>
      <c r="G113" s="3798"/>
      <c r="H113" s="3798"/>
      <c r="I113" s="3798"/>
      <c r="J113" s="3798"/>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0.27</v>
      </c>
      <c r="C116" s="3396" t="s">
        <v>3311</v>
      </c>
      <c r="D116" s="3397">
        <f>SUMPRODUCT((A118:A122=F116)*(B117:M117=H116)*B118:M122)</f>
        <v>0</v>
      </c>
      <c r="E116" s="1996" t="s">
        <v>3312</v>
      </c>
      <c r="F116" s="3398" t="str">
        <f>E2</f>
        <v>商业</v>
      </c>
      <c r="G116" s="1996" t="s">
        <v>3313</v>
      </c>
      <c r="H116" s="3398">
        <f>G2</f>
        <v>0</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0.99380000000000002</v>
      </c>
      <c r="C118" s="3384">
        <f>B118</f>
        <v>0.99380000000000002</v>
      </c>
      <c r="D118" s="3384">
        <f>ROUND(0.949-0.014*B116,4)</f>
        <v>0.94520000000000004</v>
      </c>
      <c r="E118" s="3384">
        <f>D118</f>
        <v>0.94520000000000004</v>
      </c>
      <c r="F118" s="3384">
        <f>E118</f>
        <v>0.94520000000000004</v>
      </c>
      <c r="G118" s="3384">
        <f>F118</f>
        <v>0.94520000000000004</v>
      </c>
      <c r="H118" s="3384">
        <f>G118</f>
        <v>0.94520000000000004</v>
      </c>
      <c r="I118" s="3384">
        <f>ROUND(0.8486-0.018*B116,4)</f>
        <v>0.84370000000000001</v>
      </c>
      <c r="J118" s="3384">
        <f t="shared" ref="J118:M122" si="37">I118</f>
        <v>0.84370000000000001</v>
      </c>
      <c r="K118" s="3384">
        <f t="shared" si="37"/>
        <v>0.84370000000000001</v>
      </c>
      <c r="L118" s="3384">
        <f t="shared" si="37"/>
        <v>0.84370000000000001</v>
      </c>
      <c r="M118" s="3407">
        <f t="shared" si="37"/>
        <v>0.84370000000000001</v>
      </c>
      <c r="N118" s="3394"/>
    </row>
    <row r="119" spans="1:14">
      <c r="A119" s="3406" t="s">
        <v>3327</v>
      </c>
      <c r="B119" s="3384">
        <f>ROUND(0.993-0.0112*B116,4)</f>
        <v>0.99</v>
      </c>
      <c r="C119" s="3384">
        <f>B119</f>
        <v>0.99</v>
      </c>
      <c r="D119" s="3384">
        <f>ROUND(0.9415-0.0142*B116,4)</f>
        <v>0.93769999999999998</v>
      </c>
      <c r="E119" s="3384">
        <f t="shared" ref="E119:H120" si="38">D119</f>
        <v>0.93769999999999998</v>
      </c>
      <c r="F119" s="3384">
        <f t="shared" si="38"/>
        <v>0.93769999999999998</v>
      </c>
      <c r="G119" s="3384">
        <f t="shared" si="38"/>
        <v>0.93769999999999998</v>
      </c>
      <c r="H119" s="3384">
        <f t="shared" si="38"/>
        <v>0.93769999999999998</v>
      </c>
      <c r="I119" s="3384">
        <f>ROUND(0.838-0.0182*B116,4)</f>
        <v>0.83309999999999995</v>
      </c>
      <c r="J119" s="3384">
        <f t="shared" si="37"/>
        <v>0.83309999999999995</v>
      </c>
      <c r="K119" s="3384">
        <f t="shared" si="37"/>
        <v>0.83309999999999995</v>
      </c>
      <c r="L119" s="3384">
        <f t="shared" si="37"/>
        <v>0.83309999999999995</v>
      </c>
      <c r="M119" s="3407">
        <f t="shared" si="37"/>
        <v>0.83309999999999995</v>
      </c>
      <c r="N119" s="3394"/>
    </row>
    <row r="120" spans="1:14">
      <c r="A120" s="3406" t="s">
        <v>3328</v>
      </c>
      <c r="B120" s="3384">
        <f>ROUND(0.9448-0.0115*B116,4)</f>
        <v>0.94169999999999998</v>
      </c>
      <c r="C120" s="3384">
        <f>B120</f>
        <v>0.94169999999999998</v>
      </c>
      <c r="D120" s="3384">
        <f>ROUND(0.937-0.0145*B116,4)</f>
        <v>0.93310000000000004</v>
      </c>
      <c r="E120" s="3384">
        <f t="shared" si="38"/>
        <v>0.93310000000000004</v>
      </c>
      <c r="F120" s="3384">
        <f t="shared" si="38"/>
        <v>0.93310000000000004</v>
      </c>
      <c r="G120" s="3384">
        <f t="shared" si="38"/>
        <v>0.93310000000000004</v>
      </c>
      <c r="H120" s="3384">
        <f t="shared" si="38"/>
        <v>0.93310000000000004</v>
      </c>
      <c r="I120" s="3384">
        <f>ROUND(0.7965-0.0185*B116,4)</f>
        <v>0.79149999999999998</v>
      </c>
      <c r="J120" s="3384">
        <f t="shared" si="37"/>
        <v>0.79149999999999998</v>
      </c>
      <c r="K120" s="3384">
        <f t="shared" si="37"/>
        <v>0.79149999999999998</v>
      </c>
      <c r="L120" s="3384">
        <f t="shared" si="37"/>
        <v>0.79149999999999998</v>
      </c>
      <c r="M120" s="3407">
        <f t="shared" si="37"/>
        <v>0.79149999999999998</v>
      </c>
      <c r="N120" s="3394"/>
    </row>
    <row r="121" spans="1:14" ht="13.5" thickBot="1">
      <c r="A121" s="3408" t="s">
        <v>3329</v>
      </c>
      <c r="B121" s="3409">
        <f>ROUND(0.7836-0.012*B116,4)</f>
        <v>0.78039999999999998</v>
      </c>
      <c r="C121" s="3409">
        <f>B121</f>
        <v>0.78039999999999998</v>
      </c>
      <c r="D121" s="3409">
        <f>ROUND(0.753-0.015*B116,4)</f>
        <v>0.749</v>
      </c>
      <c r="E121" s="3409">
        <f>D121</f>
        <v>0.749</v>
      </c>
      <c r="F121" s="3409">
        <f>E121</f>
        <v>0.749</v>
      </c>
      <c r="G121" s="3409">
        <f>ROUND(0.6612-0.018*B116,4)</f>
        <v>0.65629999999999999</v>
      </c>
      <c r="H121" s="3409">
        <f>G121</f>
        <v>0.65629999999999999</v>
      </c>
      <c r="I121" s="3409">
        <f>ROUND(0.5905-0.019*B116,4)</f>
        <v>0.58540000000000003</v>
      </c>
      <c r="J121" s="3409">
        <f t="shared" si="37"/>
        <v>0.58540000000000003</v>
      </c>
      <c r="K121" s="3409">
        <f t="shared" si="37"/>
        <v>0.58540000000000003</v>
      </c>
      <c r="L121" s="3409">
        <f t="shared" si="37"/>
        <v>0.58540000000000003</v>
      </c>
      <c r="M121" s="3410">
        <f t="shared" si="37"/>
        <v>0.58540000000000003</v>
      </c>
      <c r="N121" s="3394"/>
    </row>
    <row r="122" spans="1:14">
      <c r="A122" s="3411" t="s">
        <v>2611</v>
      </c>
      <c r="B122" s="3384">
        <f>ROUND(0.9404-0.0106*B116,4)</f>
        <v>0.9375</v>
      </c>
      <c r="C122" s="3384">
        <f>B122</f>
        <v>0.9375</v>
      </c>
      <c r="D122" s="3384">
        <f>ROUND(0.8955-0.0135*B116,4)</f>
        <v>0.89190000000000003</v>
      </c>
      <c r="E122" s="3384">
        <f t="shared" ref="E122:H122" si="39">D122</f>
        <v>0.89190000000000003</v>
      </c>
      <c r="F122" s="3384">
        <f t="shared" si="39"/>
        <v>0.89190000000000003</v>
      </c>
      <c r="G122" s="3384">
        <f t="shared" si="39"/>
        <v>0.89190000000000003</v>
      </c>
      <c r="H122" s="3384">
        <f t="shared" si="39"/>
        <v>0.89190000000000003</v>
      </c>
      <c r="I122" s="3384">
        <f>ROUND(0.7632-0.0166*B116,4)</f>
        <v>0.75870000000000004</v>
      </c>
      <c r="J122" s="3384">
        <f t="shared" si="37"/>
        <v>0.75870000000000004</v>
      </c>
      <c r="K122" s="3384">
        <f t="shared" si="37"/>
        <v>0.75870000000000004</v>
      </c>
      <c r="L122" s="3384">
        <f t="shared" si="37"/>
        <v>0.75870000000000004</v>
      </c>
      <c r="M122" s="3407">
        <f t="shared" si="37"/>
        <v>0.75870000000000004</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20228.239999999998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16" t="s">
        <v>1768</v>
      </c>
      <c r="S4" s="3717"/>
      <c r="T4" s="3716" t="s">
        <v>1769</v>
      </c>
      <c r="U4" s="3717"/>
      <c r="V4" s="3713" t="s">
        <v>1770</v>
      </c>
      <c r="W4" s="3713"/>
      <c r="X4" s="1351"/>
      <c r="Y4" s="3716" t="s">
        <v>1772</v>
      </c>
      <c r="Z4" s="3717"/>
      <c r="AA4" s="3710" t="s">
        <v>1768</v>
      </c>
      <c r="AB4" s="3711" t="s">
        <v>1769</v>
      </c>
      <c r="AC4" s="3710" t="s">
        <v>1770</v>
      </c>
    </row>
    <row r="5" spans="1:29" ht="15">
      <c r="A5" s="358"/>
      <c r="B5" s="359"/>
      <c r="C5" s="3722" t="s">
        <v>1670</v>
      </c>
      <c r="D5" s="3723"/>
      <c r="E5" s="3720">
        <f>案例信息!A3</f>
        <v>0</v>
      </c>
      <c r="F5" s="3721"/>
      <c r="G5" s="3722">
        <f>案例信息!A4</f>
        <v>0</v>
      </c>
      <c r="H5" s="3723"/>
      <c r="I5" s="3722">
        <f>案例信息!A5</f>
        <v>0</v>
      </c>
      <c r="J5" s="3723"/>
      <c r="K5" s="559"/>
      <c r="L5" s="2711"/>
      <c r="M5" s="2712"/>
      <c r="N5" s="2712"/>
      <c r="O5" s="2712"/>
      <c r="P5" s="3735"/>
      <c r="Q5" s="3736"/>
      <c r="R5" s="3718"/>
      <c r="S5" s="3719"/>
      <c r="T5" s="3718"/>
      <c r="U5" s="3719"/>
      <c r="V5" s="3713"/>
      <c r="W5" s="3713"/>
      <c r="X5" s="1351"/>
      <c r="Y5" s="3718"/>
      <c r="Z5" s="3719"/>
      <c r="AA5" s="3711"/>
      <c r="AB5" s="3711"/>
      <c r="AC5" s="3711"/>
    </row>
    <row r="6" spans="1:29" ht="15.75" thickBot="1">
      <c r="A6" s="360"/>
      <c r="B6" s="361"/>
      <c r="C6" s="3814" t="s">
        <v>1916</v>
      </c>
      <c r="D6" s="3815"/>
      <c r="E6" s="3816" t="s">
        <v>1916</v>
      </c>
      <c r="F6" s="3817"/>
      <c r="G6" s="3814" t="s">
        <v>1916</v>
      </c>
      <c r="H6" s="3815"/>
      <c r="I6" s="3814" t="s">
        <v>1916</v>
      </c>
      <c r="J6" s="3815"/>
      <c r="K6" s="559" t="s">
        <v>1675</v>
      </c>
      <c r="L6" s="2711"/>
      <c r="M6" s="2712"/>
      <c r="N6" s="2712"/>
      <c r="O6" s="2712"/>
      <c r="P6" s="3737"/>
      <c r="Q6" s="3738"/>
      <c r="R6" s="3718"/>
      <c r="S6" s="3719"/>
      <c r="T6" s="3739"/>
      <c r="U6" s="3740"/>
      <c r="V6" s="3713"/>
      <c r="W6" s="3713"/>
      <c r="X6" s="1351"/>
      <c r="Y6" s="3739"/>
      <c r="Z6" s="3740"/>
      <c r="AA6" s="3712"/>
      <c r="AB6" s="3712"/>
      <c r="AC6" s="3712"/>
    </row>
    <row r="7" spans="1:29" s="108" customFormat="1" ht="15.75" thickBot="1">
      <c r="A7" s="362" t="s">
        <v>1676</v>
      </c>
      <c r="B7" s="363"/>
      <c r="C7" s="364">
        <f>'数据-取费表'!B2</f>
        <v>45467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4" t="s">
        <v>1677</v>
      </c>
      <c r="Q7" s="3741"/>
      <c r="R7" s="700" t="s">
        <v>14</v>
      </c>
      <c r="S7" s="701">
        <f t="shared" ref="S7:S15" si="0">F7</f>
        <v>0</v>
      </c>
      <c r="T7" s="700" t="s">
        <v>14</v>
      </c>
      <c r="U7" s="701">
        <f t="shared" ref="U7:U15" si="1">H7</f>
        <v>0</v>
      </c>
      <c r="V7" s="700" t="s">
        <v>14</v>
      </c>
      <c r="W7" s="701">
        <f t="shared" ref="W7:W15" si="2">J7</f>
        <v>0</v>
      </c>
      <c r="X7" s="702"/>
      <c r="Y7" s="3714" t="s">
        <v>1677</v>
      </c>
      <c r="Z7" s="3715"/>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4" t="s">
        <v>1680</v>
      </c>
      <c r="Q8" s="3715"/>
      <c r="R8" s="700" t="s">
        <v>14</v>
      </c>
      <c r="S8" s="701">
        <f t="shared" si="0"/>
        <v>100</v>
      </c>
      <c r="T8" s="700" t="s">
        <v>14</v>
      </c>
      <c r="U8" s="701">
        <f t="shared" si="1"/>
        <v>100</v>
      </c>
      <c r="V8" s="700" t="s">
        <v>14</v>
      </c>
      <c r="W8" s="701">
        <f t="shared" si="2"/>
        <v>100</v>
      </c>
      <c r="X8" s="702"/>
      <c r="Y8" s="3714" t="s">
        <v>1680</v>
      </c>
      <c r="Z8" s="3715"/>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1" t="s">
        <v>1683</v>
      </c>
      <c r="Q9" s="1339" t="str">
        <f t="shared" ref="Q9:Q15" si="6">B9</f>
        <v>用途</v>
      </c>
      <c r="R9" s="700" t="s">
        <v>14</v>
      </c>
      <c r="S9" s="701">
        <f t="shared" si="0"/>
        <v>100</v>
      </c>
      <c r="T9" s="700" t="s">
        <v>14</v>
      </c>
      <c r="U9" s="701">
        <f t="shared" si="1"/>
        <v>100</v>
      </c>
      <c r="V9" s="700" t="s">
        <v>14</v>
      </c>
      <c r="W9" s="701">
        <f t="shared" si="2"/>
        <v>100</v>
      </c>
      <c r="X9" s="702"/>
      <c r="Y9" s="3676"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116</v>
      </c>
      <c r="G10" s="383"/>
      <c r="H10" s="127">
        <f>ROUND(100/'数据-取费表'!G16,0)</f>
        <v>116</v>
      </c>
      <c r="I10" s="383"/>
      <c r="J10" s="127">
        <f>ROUND(100/'数据-取费表'!G16,0)</f>
        <v>116</v>
      </c>
      <c r="K10" s="619"/>
      <c r="L10" s="2715"/>
      <c r="M10" s="2716"/>
      <c r="N10" s="2716"/>
      <c r="O10" s="2769"/>
      <c r="P10" s="3751"/>
      <c r="Q10" s="1339" t="str">
        <f t="shared" si="6"/>
        <v>土地使用年限（年）</v>
      </c>
      <c r="R10" s="700" t="s">
        <v>14</v>
      </c>
      <c r="S10" s="701">
        <f t="shared" si="0"/>
        <v>116</v>
      </c>
      <c r="T10" s="700" t="s">
        <v>14</v>
      </c>
      <c r="U10" s="701">
        <f t="shared" si="1"/>
        <v>116</v>
      </c>
      <c r="V10" s="700" t="s">
        <v>14</v>
      </c>
      <c r="W10" s="701">
        <f t="shared" si="2"/>
        <v>116</v>
      </c>
      <c r="X10" s="702"/>
      <c r="Y10" s="3676"/>
      <c r="Z10" s="52" t="str">
        <f t="shared" si="7"/>
        <v>土地使用年限（年）</v>
      </c>
      <c r="AA10" s="703">
        <f t="shared" si="3"/>
        <v>0.86206896551724133</v>
      </c>
      <c r="AB10" s="703">
        <f t="shared" si="4"/>
        <v>0.86206896551724133</v>
      </c>
      <c r="AC10" s="703">
        <f t="shared" si="5"/>
        <v>0.86206896551724133</v>
      </c>
    </row>
    <row r="11" spans="1:29" ht="15">
      <c r="A11" s="379"/>
      <c r="B11" s="375" t="s">
        <v>1686</v>
      </c>
      <c r="C11" s="380">
        <f>'数据-汇总表'!I5</f>
        <v>0.27</v>
      </c>
      <c r="D11" s="127">
        <v>100</v>
      </c>
      <c r="E11" s="380">
        <v>1</v>
      </c>
      <c r="F11" s="127">
        <f>LOOKUP(E11,75:75,76:76)-LOOKUP(C11,75:75,76:76)+100</f>
        <v>101</v>
      </c>
      <c r="G11" s="381">
        <v>1</v>
      </c>
      <c r="H11" s="127">
        <f>LOOKUP(G11,75:75,76:76)-LOOKUP(C11,75:75,76:76)+100</f>
        <v>101</v>
      </c>
      <c r="I11" s="380">
        <v>1</v>
      </c>
      <c r="J11" s="127">
        <f>LOOKUP(I11,75:75,76:76)-LOOKUP(C11,75:75,76:76)+100</f>
        <v>101</v>
      </c>
      <c r="K11" s="620">
        <v>1</v>
      </c>
      <c r="L11" s="2717"/>
      <c r="M11" s="2712"/>
      <c r="N11" s="2712"/>
      <c r="O11" s="2770"/>
      <c r="P11" s="3751"/>
      <c r="Q11" s="1339" t="str">
        <f t="shared" si="6"/>
        <v>容积率</v>
      </c>
      <c r="R11" s="700" t="s">
        <v>14</v>
      </c>
      <c r="S11" s="701">
        <f t="shared" si="0"/>
        <v>101</v>
      </c>
      <c r="T11" s="700" t="s">
        <v>14</v>
      </c>
      <c r="U11" s="701">
        <f t="shared" si="1"/>
        <v>101</v>
      </c>
      <c r="V11" s="700" t="s">
        <v>14</v>
      </c>
      <c r="W11" s="701">
        <f t="shared" si="2"/>
        <v>101</v>
      </c>
      <c r="X11" s="702"/>
      <c r="Y11" s="3676"/>
      <c r="Z11" s="52" t="str">
        <f t="shared" si="7"/>
        <v>容积率</v>
      </c>
      <c r="AA11" s="703">
        <f t="shared" si="3"/>
        <v>0.99009900990099009</v>
      </c>
      <c r="AB11" s="703">
        <f t="shared" si="4"/>
        <v>0.99009900990099009</v>
      </c>
      <c r="AC11" s="703">
        <f t="shared" si="5"/>
        <v>0.99009900990099009</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1"/>
      <c r="Q12" s="1339">
        <f t="shared" si="6"/>
        <v>111</v>
      </c>
      <c r="R12" s="700" t="s">
        <v>14</v>
      </c>
      <c r="S12" s="701">
        <f t="shared" si="0"/>
        <v>100</v>
      </c>
      <c r="T12" s="700" t="s">
        <v>14</v>
      </c>
      <c r="U12" s="701">
        <f t="shared" si="1"/>
        <v>100</v>
      </c>
      <c r="V12" s="700" t="s">
        <v>14</v>
      </c>
      <c r="W12" s="701">
        <f t="shared" si="2"/>
        <v>100</v>
      </c>
      <c r="X12" s="702"/>
      <c r="Y12" s="3676"/>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1"/>
      <c r="Q13" s="1339">
        <f t="shared" si="6"/>
        <v>111</v>
      </c>
      <c r="R13" s="700" t="s">
        <v>14</v>
      </c>
      <c r="S13" s="701">
        <f t="shared" si="0"/>
        <v>100</v>
      </c>
      <c r="T13" s="700" t="s">
        <v>14</v>
      </c>
      <c r="U13" s="701">
        <f t="shared" si="1"/>
        <v>100</v>
      </c>
      <c r="V13" s="700" t="s">
        <v>14</v>
      </c>
      <c r="W13" s="701">
        <f t="shared" si="2"/>
        <v>100</v>
      </c>
      <c r="X13" s="702"/>
      <c r="Y13" s="3676"/>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1"/>
      <c r="Q14" s="1339">
        <f t="shared" si="6"/>
        <v>111</v>
      </c>
      <c r="R14" s="700" t="s">
        <v>14</v>
      </c>
      <c r="S14" s="701">
        <f t="shared" si="0"/>
        <v>100</v>
      </c>
      <c r="T14" s="700" t="s">
        <v>14</v>
      </c>
      <c r="U14" s="701">
        <f t="shared" si="1"/>
        <v>100</v>
      </c>
      <c r="V14" s="700" t="s">
        <v>14</v>
      </c>
      <c r="W14" s="701">
        <f t="shared" si="2"/>
        <v>100</v>
      </c>
      <c r="X14" s="702"/>
      <c r="Y14" s="3676"/>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4" t="s">
        <v>1688</v>
      </c>
      <c r="Q15" s="1348" t="str">
        <f t="shared" si="6"/>
        <v>产业集聚程度</v>
      </c>
      <c r="R15" s="704" t="s">
        <v>14</v>
      </c>
      <c r="S15" s="705">
        <f t="shared" si="0"/>
        <v>100</v>
      </c>
      <c r="T15" s="704" t="s">
        <v>14</v>
      </c>
      <c r="U15" s="705">
        <f t="shared" si="1"/>
        <v>100</v>
      </c>
      <c r="V15" s="704" t="s">
        <v>14</v>
      </c>
      <c r="W15" s="705">
        <f t="shared" si="2"/>
        <v>100</v>
      </c>
      <c r="X15" s="1351"/>
      <c r="Y15" s="3744"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5"/>
      <c r="Q16" s="1348"/>
      <c r="R16" s="704"/>
      <c r="S16" s="705"/>
      <c r="T16" s="704"/>
      <c r="U16" s="705"/>
      <c r="V16" s="704"/>
      <c r="W16" s="705"/>
      <c r="X16" s="1351"/>
      <c r="Y16" s="3745"/>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5"/>
      <c r="Q17" s="1348" t="str">
        <f>B17</f>
        <v>交通便捷度</v>
      </c>
      <c r="R17" s="704" t="s">
        <v>14</v>
      </c>
      <c r="S17" s="705">
        <f>F17</f>
        <v>100</v>
      </c>
      <c r="T17" s="704" t="s">
        <v>14</v>
      </c>
      <c r="U17" s="705">
        <f>H17</f>
        <v>100</v>
      </c>
      <c r="V17" s="704" t="s">
        <v>14</v>
      </c>
      <c r="W17" s="705">
        <f>J17</f>
        <v>100</v>
      </c>
      <c r="X17" s="1351"/>
      <c r="Y17" s="3745"/>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5"/>
      <c r="Q18" s="1348"/>
      <c r="R18" s="704"/>
      <c r="S18" s="705"/>
      <c r="T18" s="704"/>
      <c r="U18" s="705"/>
      <c r="V18" s="704"/>
      <c r="W18" s="705"/>
      <c r="X18" s="1351"/>
      <c r="Y18" s="3745"/>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5"/>
      <c r="Q19" s="1348" t="str">
        <f t="shared" ref="Q19:Q33" si="8">B19</f>
        <v>区域土地利用方向</v>
      </c>
      <c r="R19" s="704" t="s">
        <v>14</v>
      </c>
      <c r="S19" s="705">
        <f>F19</f>
        <v>100</v>
      </c>
      <c r="T19" s="704" t="s">
        <v>14</v>
      </c>
      <c r="U19" s="705">
        <f>H19</f>
        <v>100</v>
      </c>
      <c r="V19" s="704" t="s">
        <v>14</v>
      </c>
      <c r="W19" s="705">
        <f>J19</f>
        <v>100</v>
      </c>
      <c r="X19" s="1351"/>
      <c r="Y19" s="3745"/>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5"/>
      <c r="Q20" s="1348"/>
      <c r="R20" s="704"/>
      <c r="S20" s="705"/>
      <c r="T20" s="704"/>
      <c r="U20" s="705"/>
      <c r="V20" s="704"/>
      <c r="W20" s="705"/>
      <c r="X20" s="1351"/>
      <c r="Y20" s="3745"/>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5"/>
      <c r="Q21" s="1348" t="str">
        <f t="shared" si="8"/>
        <v>环境状况</v>
      </c>
      <c r="R21" s="704" t="s">
        <v>14</v>
      </c>
      <c r="S21" s="705">
        <f>F21</f>
        <v>100</v>
      </c>
      <c r="T21" s="704" t="s">
        <v>14</v>
      </c>
      <c r="U21" s="705">
        <f>H21</f>
        <v>100</v>
      </c>
      <c r="V21" s="704" t="s">
        <v>14</v>
      </c>
      <c r="W21" s="705">
        <f>J21</f>
        <v>100</v>
      </c>
      <c r="X21" s="1351"/>
      <c r="Y21" s="3745"/>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5"/>
      <c r="Q22" s="1348"/>
      <c r="R22" s="704"/>
      <c r="S22" s="705"/>
      <c r="T22" s="704"/>
      <c r="U22" s="705"/>
      <c r="V22" s="704"/>
      <c r="W22" s="705"/>
      <c r="X22" s="1351"/>
      <c r="Y22" s="3745"/>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5"/>
      <c r="Q23" s="1339" t="str">
        <f t="shared" si="8"/>
        <v>公共配套设施</v>
      </c>
      <c r="R23" s="700" t="s">
        <v>14</v>
      </c>
      <c r="S23" s="701">
        <f>F23</f>
        <v>100</v>
      </c>
      <c r="T23" s="700" t="s">
        <v>14</v>
      </c>
      <c r="U23" s="701">
        <f>H23</f>
        <v>100</v>
      </c>
      <c r="V23" s="700" t="s">
        <v>14</v>
      </c>
      <c r="W23" s="701">
        <f>J23</f>
        <v>100</v>
      </c>
      <c r="X23" s="702"/>
      <c r="Y23" s="3745"/>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5"/>
      <c r="Q24" s="1339"/>
      <c r="R24" s="700"/>
      <c r="S24" s="701"/>
      <c r="T24" s="700"/>
      <c r="U24" s="701"/>
      <c r="V24" s="700"/>
      <c r="W24" s="701"/>
      <c r="X24" s="702"/>
      <c r="Y24" s="3745"/>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5"/>
      <c r="Q25" s="1339" t="str">
        <f t="shared" ref="Q25" si="9">B25</f>
        <v>基础设施水平</v>
      </c>
      <c r="R25" s="700" t="s">
        <v>14</v>
      </c>
      <c r="S25" s="701">
        <f>F25</f>
        <v>100</v>
      </c>
      <c r="T25" s="700" t="s">
        <v>14</v>
      </c>
      <c r="U25" s="701">
        <f>H25</f>
        <v>100</v>
      </c>
      <c r="V25" s="700" t="s">
        <v>14</v>
      </c>
      <c r="W25" s="701">
        <f>J25</f>
        <v>100</v>
      </c>
      <c r="X25" s="702"/>
      <c r="Y25" s="3745"/>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5"/>
      <c r="Q26" s="1339"/>
      <c r="R26" s="700"/>
      <c r="S26" s="701"/>
      <c r="T26" s="700"/>
      <c r="U26" s="701"/>
      <c r="V26" s="700"/>
      <c r="W26" s="701"/>
      <c r="X26" s="702"/>
      <c r="Y26" s="3745"/>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5"/>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5"/>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5"/>
      <c r="Q28" s="1348" t="str">
        <f t="shared" si="8"/>
        <v>毗邻道路的类型与等级</v>
      </c>
      <c r="R28" s="704" t="s">
        <v>14</v>
      </c>
      <c r="S28" s="705">
        <f t="shared" si="10"/>
        <v>100</v>
      </c>
      <c r="T28" s="704" t="s">
        <v>14</v>
      </c>
      <c r="U28" s="705">
        <f t="shared" si="11"/>
        <v>100</v>
      </c>
      <c r="V28" s="704" t="s">
        <v>14</v>
      </c>
      <c r="W28" s="705">
        <f t="shared" si="12"/>
        <v>100</v>
      </c>
      <c r="X28" s="1351"/>
      <c r="Y28" s="3745"/>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5"/>
      <c r="Q29" s="1348"/>
      <c r="R29" s="704"/>
      <c r="S29" s="705"/>
      <c r="T29" s="704"/>
      <c r="U29" s="705"/>
      <c r="V29" s="704"/>
      <c r="W29" s="705"/>
      <c r="X29" s="1351"/>
      <c r="Y29" s="3745"/>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5"/>
      <c r="Q30" s="1348" t="str">
        <f t="shared" si="8"/>
        <v>土地级别</v>
      </c>
      <c r="R30" s="704" t="s">
        <v>14</v>
      </c>
      <c r="S30" s="705">
        <f t="shared" si="10"/>
        <v>100</v>
      </c>
      <c r="T30" s="704" t="s">
        <v>14</v>
      </c>
      <c r="U30" s="705">
        <f t="shared" si="11"/>
        <v>100</v>
      </c>
      <c r="V30" s="704" t="s">
        <v>14</v>
      </c>
      <c r="W30" s="705">
        <f t="shared" si="12"/>
        <v>100</v>
      </c>
      <c r="X30" s="1351"/>
      <c r="Y30" s="3745"/>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5"/>
      <c r="Q31" s="1348">
        <f t="shared" si="8"/>
        <v>111</v>
      </c>
      <c r="R31" s="704" t="s">
        <v>14</v>
      </c>
      <c r="S31" s="705">
        <f t="shared" si="10"/>
        <v>100</v>
      </c>
      <c r="T31" s="704" t="s">
        <v>14</v>
      </c>
      <c r="U31" s="705">
        <f t="shared" si="11"/>
        <v>100</v>
      </c>
      <c r="V31" s="704" t="s">
        <v>14</v>
      </c>
      <c r="W31" s="705">
        <f t="shared" si="12"/>
        <v>100</v>
      </c>
      <c r="X31" s="1351"/>
      <c r="Y31" s="3745"/>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0" t="s">
        <v>1693</v>
      </c>
      <c r="Q32" s="1348">
        <f t="shared" si="8"/>
        <v>111</v>
      </c>
      <c r="R32" s="704" t="s">
        <v>14</v>
      </c>
      <c r="S32" s="705">
        <f t="shared" si="10"/>
        <v>100</v>
      </c>
      <c r="T32" s="704" t="s">
        <v>14</v>
      </c>
      <c r="U32" s="705">
        <f t="shared" si="11"/>
        <v>100</v>
      </c>
      <c r="V32" s="704" t="s">
        <v>14</v>
      </c>
      <c r="W32" s="705">
        <f t="shared" si="12"/>
        <v>100</v>
      </c>
      <c r="X32" s="1351"/>
      <c r="Y32" s="3749"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49"/>
      <c r="Q33" s="1348">
        <f t="shared" si="8"/>
        <v>111</v>
      </c>
      <c r="R33" s="707" t="s">
        <v>14</v>
      </c>
      <c r="S33" s="708">
        <f t="shared" si="10"/>
        <v>100</v>
      </c>
      <c r="T33" s="707" t="s">
        <v>14</v>
      </c>
      <c r="U33" s="708">
        <f t="shared" si="11"/>
        <v>100</v>
      </c>
      <c r="V33" s="707" t="s">
        <v>14</v>
      </c>
      <c r="W33" s="708">
        <f t="shared" si="12"/>
        <v>100</v>
      </c>
      <c r="X33" s="709"/>
      <c r="Y33" s="3749"/>
      <c r="Z33" s="710">
        <f t="shared" si="13"/>
        <v>111</v>
      </c>
      <c r="AA33" s="1349">
        <f t="shared" si="3"/>
        <v>1</v>
      </c>
      <c r="AB33" s="1349">
        <f t="shared" si="4"/>
        <v>1</v>
      </c>
      <c r="AC33" s="1349">
        <f t="shared" si="5"/>
        <v>1</v>
      </c>
    </row>
    <row r="34" spans="1:31" ht="15">
      <c r="A34" s="391" t="s">
        <v>1691</v>
      </c>
      <c r="B34" s="407" t="s">
        <v>1871</v>
      </c>
      <c r="C34" s="626">
        <f>'数据-基础表'!A3</f>
        <v>73586.240000000005</v>
      </c>
      <c r="D34" s="418">
        <v>100</v>
      </c>
      <c r="E34" s="626">
        <f>案例信息!E3</f>
        <v>0</v>
      </c>
      <c r="F34" s="418">
        <f>LOOKUP(E34,108:108,109:109)-LOOKUP(C34,108:108,109:109)+100</f>
        <v>104</v>
      </c>
      <c r="G34" s="626">
        <f>案例信息!E4</f>
        <v>0</v>
      </c>
      <c r="H34" s="418">
        <f>LOOKUP(G34,108:108,109:109)-LOOKUP(C34,108:108,109:109)+100</f>
        <v>104</v>
      </c>
      <c r="I34" s="479">
        <f>案例信息!E5</f>
        <v>0</v>
      </c>
      <c r="J34" s="418">
        <f>LOOKUP(I34,108:108,109:109)-LOOKUP(C34,108:108,109:109)+100</f>
        <v>104</v>
      </c>
      <c r="K34" s="562"/>
      <c r="L34" s="2718"/>
      <c r="M34" s="2712"/>
      <c r="N34" s="2712"/>
      <c r="O34" s="2770"/>
      <c r="P34" s="3749"/>
      <c r="Q34" s="1348" t="str">
        <f>B34</f>
        <v>宗地面积</v>
      </c>
      <c r="R34" s="704" t="s">
        <v>14</v>
      </c>
      <c r="S34" s="705">
        <f t="shared" si="10"/>
        <v>104</v>
      </c>
      <c r="T34" s="704" t="s">
        <v>14</v>
      </c>
      <c r="U34" s="705">
        <f t="shared" si="11"/>
        <v>104</v>
      </c>
      <c r="V34" s="704" t="s">
        <v>14</v>
      </c>
      <c r="W34" s="705">
        <f t="shared" si="12"/>
        <v>104</v>
      </c>
      <c r="X34" s="1351"/>
      <c r="Y34" s="3749"/>
      <c r="Z34" s="1352" t="str">
        <f t="shared" si="13"/>
        <v>宗地面积</v>
      </c>
      <c r="AA34" s="1349">
        <f t="shared" si="3"/>
        <v>0.96153846153846156</v>
      </c>
      <c r="AB34" s="1349">
        <f t="shared" si="4"/>
        <v>0.96153846153846156</v>
      </c>
      <c r="AC34" s="1349">
        <f t="shared" si="5"/>
        <v>0.96153846153846156</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9"/>
      <c r="Q35" s="1348" t="str">
        <f t="shared" ref="Q35:Q40" si="14">B35</f>
        <v>宗地形状</v>
      </c>
      <c r="R35" s="704" t="s">
        <v>14</v>
      </c>
      <c r="S35" s="705">
        <f t="shared" si="10"/>
        <v>100</v>
      </c>
      <c r="T35" s="704" t="s">
        <v>14</v>
      </c>
      <c r="U35" s="705">
        <f t="shared" si="11"/>
        <v>100</v>
      </c>
      <c r="V35" s="704" t="s">
        <v>14</v>
      </c>
      <c r="W35" s="705">
        <f t="shared" si="12"/>
        <v>100</v>
      </c>
      <c r="X35" s="1351"/>
      <c r="Y35" s="3749"/>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9"/>
      <c r="Q36" s="1348" t="str">
        <f t="shared" si="14"/>
        <v>宗地开发程度</v>
      </c>
      <c r="R36" s="700" t="s">
        <v>14</v>
      </c>
      <c r="S36" s="701">
        <f t="shared" si="10"/>
        <v>100</v>
      </c>
      <c r="T36" s="700" t="s">
        <v>14</v>
      </c>
      <c r="U36" s="701">
        <f t="shared" si="11"/>
        <v>100</v>
      </c>
      <c r="V36" s="700" t="s">
        <v>14</v>
      </c>
      <c r="W36" s="701">
        <f t="shared" si="12"/>
        <v>100</v>
      </c>
      <c r="X36" s="702"/>
      <c r="Y36" s="3749"/>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9" t="s">
        <v>1693</v>
      </c>
      <c r="Q37" s="1348" t="str">
        <f t="shared" si="14"/>
        <v>工程地质条件</v>
      </c>
      <c r="R37" s="704" t="s">
        <v>14</v>
      </c>
      <c r="S37" s="705">
        <f t="shared" si="10"/>
        <v>100</v>
      </c>
      <c r="T37" s="704" t="s">
        <v>14</v>
      </c>
      <c r="U37" s="705">
        <f t="shared" si="11"/>
        <v>100</v>
      </c>
      <c r="V37" s="704" t="s">
        <v>14</v>
      </c>
      <c r="W37" s="705">
        <f t="shared" si="12"/>
        <v>100</v>
      </c>
      <c r="X37" s="1351"/>
      <c r="Y37" s="3749"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49"/>
      <c r="Q38" s="1348">
        <f t="shared" si="14"/>
        <v>111</v>
      </c>
      <c r="R38" s="704" t="s">
        <v>14</v>
      </c>
      <c r="S38" s="705">
        <f t="shared" si="10"/>
        <v>100</v>
      </c>
      <c r="T38" s="704" t="s">
        <v>14</v>
      </c>
      <c r="U38" s="705">
        <f t="shared" si="11"/>
        <v>100</v>
      </c>
      <c r="V38" s="704" t="s">
        <v>14</v>
      </c>
      <c r="W38" s="705">
        <f t="shared" si="12"/>
        <v>100</v>
      </c>
      <c r="X38" s="1351"/>
      <c r="Y38" s="3749"/>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49"/>
      <c r="Q39" s="1348">
        <f t="shared" si="14"/>
        <v>111</v>
      </c>
      <c r="R39" s="704" t="s">
        <v>14</v>
      </c>
      <c r="S39" s="705">
        <f t="shared" si="10"/>
        <v>100</v>
      </c>
      <c r="T39" s="704" t="s">
        <v>14</v>
      </c>
      <c r="U39" s="705">
        <f t="shared" si="11"/>
        <v>100</v>
      </c>
      <c r="V39" s="704" t="s">
        <v>14</v>
      </c>
      <c r="W39" s="705">
        <f t="shared" si="12"/>
        <v>100</v>
      </c>
      <c r="X39" s="1351"/>
      <c r="Y39" s="3749"/>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49"/>
      <c r="Q40" s="1348">
        <f t="shared" si="14"/>
        <v>111</v>
      </c>
      <c r="R40" s="707" t="s">
        <v>14</v>
      </c>
      <c r="S40" s="708">
        <f t="shared" si="10"/>
        <v>100</v>
      </c>
      <c r="T40" s="707" t="s">
        <v>14</v>
      </c>
      <c r="U40" s="708">
        <f t="shared" si="11"/>
        <v>100</v>
      </c>
      <c r="V40" s="707" t="s">
        <v>14</v>
      </c>
      <c r="W40" s="708">
        <f t="shared" si="12"/>
        <v>100</v>
      </c>
      <c r="X40" s="709"/>
      <c r="Y40" s="3749"/>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1" t="str">
        <f>A41</f>
        <v>成交单价</v>
      </c>
      <c r="Q41" s="3751"/>
      <c r="R41" s="3713">
        <f>E41</f>
        <v>0</v>
      </c>
      <c r="S41" s="3713"/>
      <c r="T41" s="3713">
        <f>G41</f>
        <v>0</v>
      </c>
      <c r="U41" s="3713"/>
      <c r="V41" s="3713">
        <f>I41</f>
        <v>0</v>
      </c>
      <c r="W41" s="3713"/>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1" t="str">
        <f>A42</f>
        <v>比较价值（元/平方米）</v>
      </c>
      <c r="Q42" s="3751"/>
      <c r="R42" s="3792" t="e">
        <f>ROUND(PRODUCT(R41,AA7:AA40),0)</f>
        <v>#DIV/0!</v>
      </c>
      <c r="S42" s="3792"/>
      <c r="T42" s="3792" t="e">
        <f>ROUND(PRODUCT(T41,AB7:AB40),0)</f>
        <v>#DIV/0!</v>
      </c>
      <c r="U42" s="3792"/>
      <c r="V42" s="3792" t="e">
        <f>ROUND(PRODUCT(V41,AC7:AC40),0)</f>
        <v>#DIV/0!</v>
      </c>
      <c r="W42" s="3792"/>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3" t="str">
        <f>A43</f>
        <v>估价对象XX用房的比较价值（楼面单价，元/平方米）</v>
      </c>
      <c r="Q43" s="3754"/>
      <c r="R43" s="3793" t="e">
        <f>ROUND(IF(D42="简单平均",AVERAGE(R42:W42),R42*F42+T42*H42+V42*J42),0)</f>
        <v>#DIV/0!</v>
      </c>
      <c r="S43" s="3793"/>
      <c r="T43" s="3793"/>
      <c r="U43" s="3793"/>
      <c r="V43" s="3793"/>
      <c r="W43" s="3793"/>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9" t="s">
        <v>1884</v>
      </c>
      <c r="H50" s="3794"/>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19982.989999999998</v>
      </c>
      <c r="F51" s="638" t="e">
        <f t="shared" ref="F51:F60" si="15">ROUND(B51*E51/10000,0)</f>
        <v>#DIV/0!</v>
      </c>
      <c r="G51" s="3728"/>
      <c r="H51" s="375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v>
      </c>
      <c r="D52" s="941">
        <v>0.25</v>
      </c>
      <c r="E52" s="641"/>
      <c r="F52" s="638" t="e">
        <f t="shared" si="15"/>
        <v>#DIV/0!</v>
      </c>
      <c r="G52" s="3002" t="s">
        <v>1889</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v>
      </c>
      <c r="D53" s="941">
        <v>0.25</v>
      </c>
      <c r="E53" s="641"/>
      <c r="F53" s="638"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v>
      </c>
      <c r="D54" s="941">
        <v>0.25</v>
      </c>
      <c r="E54" s="641"/>
      <c r="F54" s="638"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v>
      </c>
      <c r="D56" s="941">
        <v>0.25</v>
      </c>
      <c r="E56" s="217">
        <f>'数据-汇总表'!E11</f>
        <v>0</v>
      </c>
      <c r="F56" s="638" t="e">
        <f t="shared" si="15"/>
        <v>#DIV/0!</v>
      </c>
      <c r="G56" s="1983" t="s">
        <v>1893</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v>
      </c>
      <c r="D57" s="941">
        <v>0.25</v>
      </c>
      <c r="E57" s="217">
        <f>'数据-汇总表'!E12</f>
        <v>0</v>
      </c>
      <c r="F57" s="638" t="e">
        <f t="shared" si="15"/>
        <v>#DIV/0!</v>
      </c>
      <c r="G57" s="888" t="s">
        <v>1895</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v>
      </c>
      <c r="D59" s="941">
        <v>0.25</v>
      </c>
      <c r="E59" s="217">
        <f>'数据-汇总表'!E14</f>
        <v>0</v>
      </c>
      <c r="F59" s="638" t="e">
        <f t="shared" si="15"/>
        <v>#DIV/0!</v>
      </c>
      <c r="G59" s="1983" t="s">
        <v>1889</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v>
      </c>
      <c r="D60" s="941">
        <v>0.25</v>
      </c>
      <c r="E60" s="217">
        <f>'数据-汇总表'!E15</f>
        <v>0</v>
      </c>
      <c r="F60" s="638" t="e">
        <f t="shared" si="15"/>
        <v>#DIV/0!</v>
      </c>
      <c r="G60" s="1984" t="s">
        <v>1893</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73586.240000000005</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9"/>
      <c r="B4" s="3521" t="s">
        <v>916</v>
      </c>
      <c r="C4" s="3521"/>
      <c r="D4" s="3521"/>
      <c r="E4" s="1489"/>
    </row>
    <row r="5" spans="1:5" ht="16.5" thickTop="1">
      <c r="A5" s="1487"/>
      <c r="B5" s="3519" t="s">
        <v>908</v>
      </c>
      <c r="C5" s="1490" t="s">
        <v>909</v>
      </c>
      <c r="D5" s="846">
        <f ca="1">结果表!H101</f>
        <v>14901</v>
      </c>
      <c r="E5" s="1487"/>
    </row>
    <row r="6" spans="1:5" ht="15.75">
      <c r="A6" s="1487"/>
      <c r="B6" s="3519"/>
      <c r="C6" s="1490" t="s">
        <v>910</v>
      </c>
      <c r="D6" s="846" t="str">
        <f ca="1">NUMBERSTRING(INT(D5*10000),2)&amp;"元整"</f>
        <v>壹亿肆仟玖佰零壹万元整</v>
      </c>
      <c r="E6" s="1487"/>
    </row>
    <row r="7" spans="1:5" ht="15.75">
      <c r="A7" s="1487"/>
      <c r="B7" s="3524"/>
      <c r="C7" s="1491" t="s">
        <v>911</v>
      </c>
      <c r="D7" s="847">
        <f ca="1">结果表!H102</f>
        <v>7366</v>
      </c>
      <c r="E7" s="1487"/>
    </row>
    <row r="8" spans="1:5" ht="15.75">
      <c r="A8" s="1487"/>
      <c r="B8" s="3525" t="str">
        <f>结果表!E103</f>
        <v>2.估价师知悉的法定优先受偿款</v>
      </c>
      <c r="C8" s="1492" t="s">
        <v>912</v>
      </c>
      <c r="D8" s="847">
        <f>结果表!H103</f>
        <v>0</v>
      </c>
      <c r="E8" s="1487"/>
    </row>
    <row r="9" spans="1:5" ht="15.75">
      <c r="A9" s="1487"/>
      <c r="B9" s="3527"/>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8" t="str">
        <f>结果表!E107</f>
        <v>3.房地产抵押价值</v>
      </c>
      <c r="C13" s="1495" t="s">
        <v>909</v>
      </c>
      <c r="D13" s="849">
        <f ca="1">结果表!H107</f>
        <v>14901</v>
      </c>
      <c r="E13" s="1487"/>
    </row>
    <row r="14" spans="1:5" ht="15.75">
      <c r="A14" s="1487"/>
      <c r="B14" s="3519"/>
      <c r="C14" s="1490" t="s">
        <v>910</v>
      </c>
      <c r="D14" s="846" t="str">
        <f ca="1">NUMBERSTRING(INT(D13*10000),2)&amp;"元整"</f>
        <v>壹亿肆仟玖佰零壹万元整</v>
      </c>
      <c r="E14" s="1487"/>
    </row>
    <row r="15" spans="1:5" ht="15">
      <c r="A15" s="1487"/>
      <c r="B15" s="3524"/>
      <c r="C15" s="1491" t="s">
        <v>920</v>
      </c>
      <c r="D15" s="855">
        <f ca="1">结果表!H108</f>
        <v>7366</v>
      </c>
      <c r="E15" s="1487"/>
    </row>
    <row r="16" spans="1:5" ht="15">
      <c r="A16" s="1487"/>
      <c r="B16" s="3525" t="str">
        <f>结果表!E109</f>
        <v>——</v>
      </c>
      <c r="C16" s="1495" t="s">
        <v>921</v>
      </c>
      <c r="D16" s="1496" t="str">
        <f>结果表!H109</f>
        <v>——</v>
      </c>
      <c r="E16" s="1487"/>
    </row>
    <row r="17" spans="1:5" ht="15.75">
      <c r="A17" s="1487"/>
      <c r="B17" s="3526"/>
      <c r="C17" s="1490" t="s">
        <v>922</v>
      </c>
      <c r="D17" s="846" t="e">
        <f>NUMBERSTRING(INT(D16*10000),2)&amp;"元整"</f>
        <v>#VALUE!</v>
      </c>
      <c r="E17" s="1487"/>
    </row>
    <row r="18" spans="1:5" ht="15">
      <c r="A18" s="1487"/>
      <c r="B18" s="3527"/>
      <c r="C18" s="1491" t="s">
        <v>911</v>
      </c>
      <c r="D18" s="855" t="str">
        <f>结果表!H110</f>
        <v>——</v>
      </c>
      <c r="E18" s="1487"/>
    </row>
    <row r="19" spans="1:5" ht="15.75">
      <c r="A19" s="1487"/>
      <c r="B19" s="3518" t="str">
        <f>结果表!E111</f>
        <v>4.抵押净值</v>
      </c>
      <c r="C19" s="1495" t="s">
        <v>909</v>
      </c>
      <c r="D19" s="847">
        <f ca="1">结果表!H111</f>
        <v>14099</v>
      </c>
      <c r="E19" s="1487"/>
    </row>
    <row r="20" spans="1:5" ht="15.75">
      <c r="A20" s="1487"/>
      <c r="B20" s="3519"/>
      <c r="C20" s="1490" t="s">
        <v>922</v>
      </c>
      <c r="D20" s="846" t="str">
        <f ca="1">NUMBERSTRING(INT(D19*10000),2)&amp;"元整"</f>
        <v>壹亿肆仟零玖拾玖万元整</v>
      </c>
      <c r="E20" s="1487"/>
    </row>
    <row r="21" spans="1:5" ht="15.75" thickBot="1">
      <c r="A21" s="1487"/>
      <c r="B21" s="3520"/>
      <c r="C21" s="1497" t="s">
        <v>920</v>
      </c>
      <c r="D21" s="856">
        <f ca="1">结果表!H112</f>
        <v>6970</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1" t="s">
        <v>2079</v>
      </c>
      <c r="D1" s="3822"/>
      <c r="E1" s="3822"/>
      <c r="F1" s="3822"/>
      <c r="G1" s="3822"/>
      <c r="H1" s="3822"/>
      <c r="I1" s="3822"/>
      <c r="J1" s="3822"/>
      <c r="K1" s="3822"/>
      <c r="L1" s="3822"/>
      <c r="M1" s="3822"/>
      <c r="N1" s="3822"/>
      <c r="O1" s="3822"/>
      <c r="P1" s="3822"/>
      <c r="Q1" s="3822"/>
      <c r="R1" s="3822"/>
      <c r="S1" s="3823"/>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8" t="s">
        <v>27</v>
      </c>
      <c r="D22" s="3819"/>
      <c r="E22" s="3819"/>
      <c r="F22" s="3819"/>
      <c r="G22" s="3819"/>
      <c r="H22" s="3819"/>
      <c r="I22" s="3819"/>
      <c r="J22" s="3819"/>
      <c r="K22" s="3819"/>
      <c r="L22" s="3819"/>
      <c r="M22" s="3819"/>
      <c r="N22" s="3819"/>
      <c r="O22" s="3819"/>
      <c r="P22" s="3819"/>
      <c r="Q22" s="3820"/>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1" t="s">
        <v>2606</v>
      </c>
      <c r="B20" s="3824" t="s">
        <v>2627</v>
      </c>
      <c r="C20" s="3099" t="s">
        <v>2438</v>
      </c>
      <c r="D20" s="3100"/>
      <c r="E20" s="3101">
        <v>1</v>
      </c>
      <c r="F20" s="3102" t="s">
        <v>2439</v>
      </c>
      <c r="G20" s="3102"/>
    </row>
    <row r="21" spans="1:13" ht="19.5" customHeight="1">
      <c r="A21" s="3832"/>
      <c r="B21" s="3825"/>
      <c r="C21" s="3103" t="s">
        <v>2440</v>
      </c>
      <c r="D21" s="3104"/>
      <c r="E21" s="3105">
        <v>1</v>
      </c>
      <c r="F21" s="3102" t="s">
        <v>2441</v>
      </c>
      <c r="G21" s="3102"/>
    </row>
    <row r="22" spans="1:13" ht="19.5" customHeight="1">
      <c r="A22" s="3832"/>
      <c r="B22" s="3825"/>
      <c r="C22" s="3103" t="s">
        <v>2442</v>
      </c>
      <c r="D22" s="3104"/>
      <c r="E22" s="3105">
        <v>0.9</v>
      </c>
      <c r="F22" s="3102" t="s">
        <v>2443</v>
      </c>
      <c r="G22" s="3102"/>
    </row>
    <row r="23" spans="1:13" ht="19.5" customHeight="1">
      <c r="A23" s="3832"/>
      <c r="B23" s="3825"/>
      <c r="C23" s="3103" t="s">
        <v>2444</v>
      </c>
      <c r="D23" s="3104"/>
      <c r="E23" s="3105">
        <v>0.9</v>
      </c>
      <c r="F23" s="3102" t="s">
        <v>2445</v>
      </c>
      <c r="G23" s="3102"/>
    </row>
    <row r="24" spans="1:13" ht="19.5" customHeight="1">
      <c r="A24" s="3832"/>
      <c r="B24" s="3825"/>
      <c r="C24" s="3103" t="s">
        <v>2446</v>
      </c>
      <c r="D24" s="3104"/>
      <c r="E24" s="3105">
        <v>0.8</v>
      </c>
      <c r="F24" s="3102" t="s">
        <v>2447</v>
      </c>
      <c r="G24" s="3102"/>
    </row>
    <row r="25" spans="1:13" ht="19.5" customHeight="1" thickBot="1">
      <c r="A25" s="3833"/>
      <c r="B25" s="3826"/>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7" t="s">
        <v>2630</v>
      </c>
      <c r="B27" s="3824" t="s">
        <v>2611</v>
      </c>
      <c r="C27" s="3099" t="s">
        <v>2451</v>
      </c>
      <c r="D27" s="3100"/>
      <c r="E27" s="3101">
        <v>1</v>
      </c>
      <c r="F27" s="3102" t="s">
        <v>2452</v>
      </c>
      <c r="G27" s="3102"/>
    </row>
    <row r="28" spans="1:13" ht="19.5" customHeight="1">
      <c r="A28" s="3828"/>
      <c r="B28" s="3825"/>
      <c r="C28" s="3103" t="s">
        <v>2453</v>
      </c>
      <c r="D28" s="3104"/>
      <c r="E28" s="3105">
        <v>1</v>
      </c>
      <c r="F28" s="3102" t="s">
        <v>2454</v>
      </c>
      <c r="G28" s="3102"/>
    </row>
    <row r="29" spans="1:13" ht="19.5" customHeight="1">
      <c r="A29" s="3828"/>
      <c r="B29" s="3825"/>
      <c r="C29" s="3103" t="s">
        <v>2455</v>
      </c>
      <c r="D29" s="3104"/>
      <c r="E29" s="3105">
        <v>0.8</v>
      </c>
      <c r="F29" s="3102" t="s">
        <v>2456</v>
      </c>
      <c r="G29" s="3102"/>
    </row>
    <row r="30" spans="1:13" ht="19.5" customHeight="1">
      <c r="A30" s="3828"/>
      <c r="B30" s="3825"/>
      <c r="C30" s="3103" t="s">
        <v>2457</v>
      </c>
      <c r="D30" s="3104"/>
      <c r="E30" s="3105">
        <v>0.8</v>
      </c>
      <c r="F30" s="3102" t="s">
        <v>2458</v>
      </c>
      <c r="G30" s="3102"/>
    </row>
    <row r="31" spans="1:13" ht="19.5" customHeight="1">
      <c r="A31" s="3828"/>
      <c r="B31" s="3825"/>
      <c r="C31" s="3103" t="s">
        <v>2459</v>
      </c>
      <c r="D31" s="3104"/>
      <c r="E31" s="3105">
        <v>0.8</v>
      </c>
      <c r="F31" s="3102" t="s">
        <v>2460</v>
      </c>
      <c r="G31" s="3102"/>
    </row>
    <row r="32" spans="1:13" ht="19.5" customHeight="1">
      <c r="A32" s="3828"/>
      <c r="B32" s="3825"/>
      <c r="C32" s="3103" t="s">
        <v>2461</v>
      </c>
      <c r="D32" s="3104"/>
      <c r="E32" s="3105">
        <v>0.7</v>
      </c>
      <c r="F32" s="3102" t="s">
        <v>2462</v>
      </c>
      <c r="G32" s="3102"/>
    </row>
    <row r="33" spans="1:7" ht="19.5" customHeight="1">
      <c r="A33" s="3828"/>
      <c r="B33" s="3825"/>
      <c r="C33" s="3103" t="s">
        <v>2463</v>
      </c>
      <c r="D33" s="3104"/>
      <c r="E33" s="3105">
        <v>0.8</v>
      </c>
      <c r="F33" s="3102" t="s">
        <v>2464</v>
      </c>
      <c r="G33" s="3102"/>
    </row>
    <row r="34" spans="1:7" ht="19.5" customHeight="1">
      <c r="A34" s="3828"/>
      <c r="B34" s="3825"/>
      <c r="C34" s="3103" t="s">
        <v>2465</v>
      </c>
      <c r="D34" s="3104"/>
      <c r="E34" s="3105">
        <v>0.6</v>
      </c>
      <c r="F34" s="3102" t="s">
        <v>2466</v>
      </c>
      <c r="G34" s="3102"/>
    </row>
    <row r="35" spans="1:7" ht="19.5" customHeight="1">
      <c r="A35" s="3828"/>
      <c r="B35" s="3825"/>
      <c r="C35" s="3103" t="s">
        <v>2467</v>
      </c>
      <c r="D35" s="3104"/>
      <c r="E35" s="3105">
        <v>0.2</v>
      </c>
      <c r="F35" s="3102" t="s">
        <v>2468</v>
      </c>
      <c r="G35" s="3102"/>
    </row>
    <row r="36" spans="1:7" ht="19.5" customHeight="1">
      <c r="A36" s="3828"/>
      <c r="B36" s="3825"/>
      <c r="C36" s="3103" t="s">
        <v>2469</v>
      </c>
      <c r="D36" s="3104"/>
      <c r="E36" s="3105">
        <v>0.2</v>
      </c>
      <c r="F36" s="3102" t="s">
        <v>2470</v>
      </c>
      <c r="G36" s="3102"/>
    </row>
    <row r="37" spans="1:7" ht="19.5" customHeight="1">
      <c r="A37" s="3828"/>
      <c r="B37" s="3830" t="s">
        <v>2631</v>
      </c>
      <c r="C37" s="3103" t="s">
        <v>2471</v>
      </c>
      <c r="D37" s="3104"/>
      <c r="E37" s="3105">
        <v>0.6</v>
      </c>
      <c r="F37" s="3102" t="s">
        <v>2472</v>
      </c>
      <c r="G37" s="3102"/>
    </row>
    <row r="38" spans="1:7" ht="19.5" customHeight="1">
      <c r="A38" s="3828"/>
      <c r="B38" s="3825"/>
      <c r="C38" s="3103" t="s">
        <v>2473</v>
      </c>
      <c r="D38" s="3104"/>
      <c r="E38" s="3105">
        <v>0.6</v>
      </c>
      <c r="F38" s="3102" t="s">
        <v>2474</v>
      </c>
      <c r="G38" s="3102"/>
    </row>
    <row r="39" spans="1:7" ht="19.5" customHeight="1" thickBot="1">
      <c r="A39" s="3829"/>
      <c r="B39" s="3826"/>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1" t="s">
        <v>2609</v>
      </c>
      <c r="B41" s="3824" t="s">
        <v>2633</v>
      </c>
      <c r="C41" s="3099" t="s">
        <v>2478</v>
      </c>
      <c r="D41" s="3100"/>
      <c r="E41" s="3101">
        <v>1</v>
      </c>
      <c r="F41" s="3102" t="s">
        <v>2479</v>
      </c>
      <c r="G41" s="3102"/>
    </row>
    <row r="42" spans="1:7" ht="19.5" customHeight="1">
      <c r="A42" s="3832"/>
      <c r="B42" s="3825"/>
      <c r="C42" s="3103" t="s">
        <v>2480</v>
      </c>
      <c r="D42" s="3104"/>
      <c r="E42" s="3105">
        <v>1</v>
      </c>
      <c r="F42" s="3102" t="s">
        <v>2481</v>
      </c>
      <c r="G42" s="3102"/>
    </row>
    <row r="43" spans="1:7" ht="19.5" customHeight="1">
      <c r="A43" s="3832"/>
      <c r="B43" s="3834"/>
      <c r="C43" s="3103" t="s">
        <v>2482</v>
      </c>
      <c r="D43" s="3104"/>
      <c r="E43" s="3105">
        <v>1.5</v>
      </c>
      <c r="F43" s="3102" t="s">
        <v>2483</v>
      </c>
      <c r="G43" s="3102"/>
    </row>
    <row r="44" spans="1:7" ht="19.5" customHeight="1">
      <c r="A44" s="3832"/>
      <c r="B44" s="3114" t="s">
        <v>2634</v>
      </c>
      <c r="C44" s="3103" t="s">
        <v>2635</v>
      </c>
      <c r="D44" s="3104"/>
      <c r="E44" s="3105">
        <v>2</v>
      </c>
      <c r="F44" s="3102" t="s">
        <v>2484</v>
      </c>
      <c r="G44" s="3102"/>
    </row>
    <row r="45" spans="1:7" ht="19.5" customHeight="1">
      <c r="A45" s="3832"/>
      <c r="B45" s="3830" t="s">
        <v>2636</v>
      </c>
      <c r="C45" s="3103" t="s">
        <v>2485</v>
      </c>
      <c r="D45" s="3104"/>
      <c r="E45" s="3105">
        <v>1</v>
      </c>
      <c r="F45" s="3102" t="s">
        <v>2486</v>
      </c>
      <c r="G45" s="3102"/>
    </row>
    <row r="46" spans="1:7" ht="19.5" customHeight="1">
      <c r="A46" s="3832"/>
      <c r="B46" s="3825"/>
      <c r="C46" s="3103" t="s">
        <v>2487</v>
      </c>
      <c r="D46" s="3104"/>
      <c r="E46" s="3105">
        <v>1</v>
      </c>
      <c r="F46" s="3102" t="s">
        <v>2488</v>
      </c>
      <c r="G46" s="3102"/>
    </row>
    <row r="47" spans="1:7" ht="19.5" customHeight="1">
      <c r="A47" s="3832"/>
      <c r="B47" s="3825"/>
      <c r="C47" s="3103" t="s">
        <v>2489</v>
      </c>
      <c r="D47" s="3104"/>
      <c r="E47" s="3105">
        <v>1</v>
      </c>
      <c r="F47" s="3102" t="s">
        <v>2490</v>
      </c>
      <c r="G47" s="3102"/>
    </row>
    <row r="48" spans="1:7" ht="19.5" customHeight="1">
      <c r="A48" s="3832"/>
      <c r="B48" s="3825"/>
      <c r="C48" s="3103" t="s">
        <v>2491</v>
      </c>
      <c r="D48" s="3104"/>
      <c r="E48" s="3105">
        <v>1</v>
      </c>
      <c r="F48" s="3102" t="s">
        <v>2492</v>
      </c>
      <c r="G48" s="3102"/>
    </row>
    <row r="49" spans="1:7" ht="19.5" customHeight="1">
      <c r="A49" s="3832"/>
      <c r="B49" s="3825"/>
      <c r="C49" s="3103" t="s">
        <v>2493</v>
      </c>
      <c r="D49" s="3104"/>
      <c r="E49" s="3105">
        <v>1</v>
      </c>
      <c r="F49" s="3102" t="s">
        <v>2494</v>
      </c>
      <c r="G49" s="3102"/>
    </row>
    <row r="50" spans="1:7" ht="19.5" customHeight="1">
      <c r="A50" s="3832"/>
      <c r="B50" s="3825"/>
      <c r="C50" s="3103" t="s">
        <v>2495</v>
      </c>
      <c r="D50" s="3104"/>
      <c r="E50" s="3105">
        <v>1</v>
      </c>
      <c r="F50" s="3102" t="s">
        <v>2496</v>
      </c>
      <c r="G50" s="3102"/>
    </row>
    <row r="51" spans="1:7" ht="19.5" customHeight="1" thickBot="1">
      <c r="A51" s="3833"/>
      <c r="B51" s="3826"/>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0" t="s">
        <v>2650</v>
      </c>
      <c r="C73" s="3088" t="s">
        <v>2651</v>
      </c>
      <c r="D73" s="3088" t="s">
        <v>2652</v>
      </c>
      <c r="E73" s="3114">
        <v>0.2</v>
      </c>
      <c r="F73" s="3114">
        <v>25</v>
      </c>
    </row>
    <row r="74" spans="1:7" ht="24">
      <c r="A74" s="3114">
        <v>2</v>
      </c>
      <c r="B74" s="3825"/>
      <c r="C74" s="3088" t="s">
        <v>2653</v>
      </c>
      <c r="D74" s="3088" t="s">
        <v>2654</v>
      </c>
      <c r="E74" s="3114">
        <v>0.2</v>
      </c>
      <c r="F74" s="3114">
        <v>25</v>
      </c>
    </row>
    <row r="75" spans="1:7" ht="24">
      <c r="A75" s="3114">
        <v>3</v>
      </c>
      <c r="B75" s="3825"/>
      <c r="C75" s="3088" t="s">
        <v>2655</v>
      </c>
      <c r="D75" s="3088" t="s">
        <v>2656</v>
      </c>
      <c r="E75" s="3114">
        <v>0.2</v>
      </c>
      <c r="F75" s="3114">
        <v>25</v>
      </c>
    </row>
    <row r="76" spans="1:7" ht="13.5">
      <c r="A76" s="3114">
        <v>4</v>
      </c>
      <c r="B76" s="3825"/>
      <c r="C76" s="3088" t="s">
        <v>2657</v>
      </c>
      <c r="D76" s="3088" t="s">
        <v>2658</v>
      </c>
      <c r="E76" s="3114">
        <v>0.15</v>
      </c>
      <c r="F76" s="3114">
        <v>20</v>
      </c>
    </row>
    <row r="77" spans="1:7" ht="24">
      <c r="A77" s="3114">
        <v>5</v>
      </c>
      <c r="B77" s="3825"/>
      <c r="C77" s="3088" t="s">
        <v>2659</v>
      </c>
      <c r="D77" s="3088" t="s">
        <v>2660</v>
      </c>
      <c r="E77" s="3114">
        <v>0.15</v>
      </c>
      <c r="F77" s="3114">
        <v>20</v>
      </c>
    </row>
    <row r="78" spans="1:7" ht="24">
      <c r="A78" s="3114">
        <v>6</v>
      </c>
      <c r="B78" s="3825"/>
      <c r="C78" s="3088" t="s">
        <v>2661</v>
      </c>
      <c r="D78" s="3088" t="s">
        <v>2662</v>
      </c>
      <c r="E78" s="3114">
        <v>0.15</v>
      </c>
      <c r="F78" s="3114">
        <v>20</v>
      </c>
    </row>
    <row r="79" spans="1:7" ht="24">
      <c r="A79" s="3114">
        <v>7</v>
      </c>
      <c r="B79" s="3825"/>
      <c r="C79" s="3088" t="s">
        <v>2663</v>
      </c>
      <c r="D79" s="3088" t="s">
        <v>2664</v>
      </c>
      <c r="E79" s="3114">
        <v>0.15</v>
      </c>
      <c r="F79" s="3114">
        <v>20</v>
      </c>
    </row>
    <row r="80" spans="1:7" ht="24">
      <c r="A80" s="3114">
        <v>8</v>
      </c>
      <c r="B80" s="3825"/>
      <c r="C80" s="3088" t="s">
        <v>2665</v>
      </c>
      <c r="D80" s="3088" t="s">
        <v>2666</v>
      </c>
      <c r="E80" s="3114">
        <v>0.1</v>
      </c>
      <c r="F80" s="3114">
        <v>15</v>
      </c>
    </row>
    <row r="81" spans="1:6" ht="24">
      <c r="A81" s="3114">
        <v>9</v>
      </c>
      <c r="B81" s="3825"/>
      <c r="C81" s="3088" t="s">
        <v>2667</v>
      </c>
      <c r="D81" s="3088" t="s">
        <v>2668</v>
      </c>
      <c r="E81" s="3114">
        <v>0.1</v>
      </c>
      <c r="F81" s="3114">
        <v>15</v>
      </c>
    </row>
    <row r="82" spans="1:6" ht="24">
      <c r="A82" s="3114">
        <v>10</v>
      </c>
      <c r="B82" s="3825"/>
      <c r="C82" s="3088" t="s">
        <v>2669</v>
      </c>
      <c r="D82" s="3088" t="s">
        <v>2670</v>
      </c>
      <c r="E82" s="3114">
        <v>0.1</v>
      </c>
      <c r="F82" s="3114">
        <v>15</v>
      </c>
    </row>
    <row r="83" spans="1:6" ht="24">
      <c r="A83" s="3114">
        <v>11</v>
      </c>
      <c r="B83" s="3825"/>
      <c r="C83" s="3088" t="s">
        <v>2671</v>
      </c>
      <c r="D83" s="3088" t="s">
        <v>2672</v>
      </c>
      <c r="E83" s="3114">
        <v>0.1</v>
      </c>
      <c r="F83" s="3114">
        <v>15</v>
      </c>
    </row>
    <row r="84" spans="1:6" ht="24">
      <c r="A84" s="3114">
        <v>12</v>
      </c>
      <c r="B84" s="3825"/>
      <c r="C84" s="3088" t="s">
        <v>2673</v>
      </c>
      <c r="D84" s="3088" t="s">
        <v>2674</v>
      </c>
      <c r="E84" s="3114">
        <v>0.1</v>
      </c>
      <c r="F84" s="3114">
        <v>15</v>
      </c>
    </row>
    <row r="85" spans="1:6" ht="13.5">
      <c r="A85" s="3114">
        <v>13</v>
      </c>
      <c r="B85" s="3825"/>
      <c r="C85" s="3088" t="s">
        <v>2675</v>
      </c>
      <c r="D85" s="3088" t="s">
        <v>2676</v>
      </c>
      <c r="E85" s="3114">
        <v>0.1</v>
      </c>
      <c r="F85" s="3114">
        <v>15</v>
      </c>
    </row>
    <row r="86" spans="1:6" ht="13.5">
      <c r="A86" s="3114">
        <v>14</v>
      </c>
      <c r="B86" s="3825"/>
      <c r="C86" s="3088" t="s">
        <v>2677</v>
      </c>
      <c r="D86" s="3088" t="s">
        <v>2678</v>
      </c>
      <c r="E86" s="3114">
        <v>0.1</v>
      </c>
      <c r="F86" s="3114">
        <v>15</v>
      </c>
    </row>
    <row r="87" spans="1:6" ht="13.5">
      <c r="A87" s="3114">
        <v>15</v>
      </c>
      <c r="B87" s="3825"/>
      <c r="C87" s="3088" t="s">
        <v>2679</v>
      </c>
      <c r="D87" s="3088" t="s">
        <v>2680</v>
      </c>
      <c r="E87" s="3114">
        <v>0.1</v>
      </c>
      <c r="F87" s="3114">
        <v>15</v>
      </c>
    </row>
    <row r="88" spans="1:6" ht="24">
      <c r="A88" s="3114">
        <v>16</v>
      </c>
      <c r="B88" s="3825"/>
      <c r="C88" s="3088" t="s">
        <v>2681</v>
      </c>
      <c r="D88" s="3088" t="s">
        <v>2682</v>
      </c>
      <c r="E88" s="3114">
        <v>0.1</v>
      </c>
      <c r="F88" s="3114">
        <v>15</v>
      </c>
    </row>
    <row r="89" spans="1:6" ht="24">
      <c r="A89" s="3114">
        <v>17</v>
      </c>
      <c r="B89" s="3834"/>
      <c r="C89" s="3088" t="s">
        <v>2683</v>
      </c>
      <c r="D89" s="3088" t="s">
        <v>2684</v>
      </c>
      <c r="E89" s="3114">
        <v>0.1</v>
      </c>
      <c r="F89" s="3114">
        <v>15</v>
      </c>
    </row>
    <row r="90" spans="1:6" ht="13.5">
      <c r="A90" s="3114">
        <v>18</v>
      </c>
      <c r="B90" s="3830" t="s">
        <v>2685</v>
      </c>
      <c r="C90" s="3088" t="s">
        <v>2686</v>
      </c>
      <c r="D90" s="3088" t="s">
        <v>2687</v>
      </c>
      <c r="E90" s="3114">
        <v>0.2</v>
      </c>
      <c r="F90" s="3114">
        <v>25</v>
      </c>
    </row>
    <row r="91" spans="1:6" ht="24">
      <c r="A91" s="3114">
        <v>19</v>
      </c>
      <c r="B91" s="3825"/>
      <c r="C91" s="3088" t="s">
        <v>2688</v>
      </c>
      <c r="D91" s="3088" t="s">
        <v>2689</v>
      </c>
      <c r="E91" s="3114">
        <v>0.2</v>
      </c>
      <c r="F91" s="3114">
        <v>25</v>
      </c>
    </row>
    <row r="92" spans="1:6" ht="13.5">
      <c r="A92" s="3114">
        <v>20</v>
      </c>
      <c r="B92" s="3825"/>
      <c r="C92" s="3088" t="s">
        <v>2690</v>
      </c>
      <c r="D92" s="3088" t="s">
        <v>2691</v>
      </c>
      <c r="E92" s="3114">
        <v>0.15</v>
      </c>
      <c r="F92" s="3114">
        <v>20</v>
      </c>
    </row>
    <row r="93" spans="1:6" ht="13.5">
      <c r="A93" s="3114">
        <v>21</v>
      </c>
      <c r="B93" s="3825"/>
      <c r="C93" s="3088" t="s">
        <v>2692</v>
      </c>
      <c r="D93" s="3088" t="s">
        <v>2693</v>
      </c>
      <c r="E93" s="3114">
        <v>0.15</v>
      </c>
      <c r="F93" s="3114">
        <v>20</v>
      </c>
    </row>
    <row r="94" spans="1:6" ht="13.5">
      <c r="A94" s="3114">
        <v>22</v>
      </c>
      <c r="B94" s="3825"/>
      <c r="C94" s="3088" t="s">
        <v>2694</v>
      </c>
      <c r="D94" s="3088" t="s">
        <v>2695</v>
      </c>
      <c r="E94" s="3114">
        <v>0.15</v>
      </c>
      <c r="F94" s="3114">
        <v>20</v>
      </c>
    </row>
    <row r="95" spans="1:6" ht="36">
      <c r="A95" s="3114">
        <v>23</v>
      </c>
      <c r="B95" s="3825"/>
      <c r="C95" s="3088" t="s">
        <v>2696</v>
      </c>
      <c r="D95" s="3088" t="s">
        <v>2697</v>
      </c>
      <c r="E95" s="3114">
        <v>0.15</v>
      </c>
      <c r="F95" s="3114">
        <v>20</v>
      </c>
    </row>
    <row r="96" spans="1:6" ht="13.5">
      <c r="A96" s="3114">
        <v>24</v>
      </c>
      <c r="B96" s="3825"/>
      <c r="C96" s="3088" t="s">
        <v>2698</v>
      </c>
      <c r="D96" s="3088" t="s">
        <v>2699</v>
      </c>
      <c r="E96" s="3114">
        <v>0.1</v>
      </c>
      <c r="F96" s="3114">
        <v>15</v>
      </c>
    </row>
    <row r="97" spans="1:6" ht="13.5">
      <c r="A97" s="3114">
        <v>25</v>
      </c>
      <c r="B97" s="3825"/>
      <c r="C97" s="3088" t="s">
        <v>2700</v>
      </c>
      <c r="D97" s="3088" t="s">
        <v>2701</v>
      </c>
      <c r="E97" s="3114">
        <v>0.1</v>
      </c>
      <c r="F97" s="3114">
        <v>15</v>
      </c>
    </row>
    <row r="98" spans="1:6" ht="24">
      <c r="A98" s="3114">
        <v>26</v>
      </c>
      <c r="B98" s="3825"/>
      <c r="C98" s="3088" t="s">
        <v>2702</v>
      </c>
      <c r="D98" s="3088" t="s">
        <v>2703</v>
      </c>
      <c r="E98" s="3114">
        <v>0.1</v>
      </c>
      <c r="F98" s="3114">
        <v>15</v>
      </c>
    </row>
    <row r="99" spans="1:6" ht="24">
      <c r="A99" s="3114">
        <v>27</v>
      </c>
      <c r="B99" s="3825"/>
      <c r="C99" s="3088" t="s">
        <v>2704</v>
      </c>
      <c r="D99" s="3088" t="s">
        <v>2705</v>
      </c>
      <c r="E99" s="3114">
        <v>0.1</v>
      </c>
      <c r="F99" s="3114">
        <v>15</v>
      </c>
    </row>
    <row r="100" spans="1:6" ht="13.5">
      <c r="A100" s="3114">
        <v>28</v>
      </c>
      <c r="B100" s="3825"/>
      <c r="C100" s="3088" t="s">
        <v>2706</v>
      </c>
      <c r="D100" s="3088" t="s">
        <v>2707</v>
      </c>
      <c r="E100" s="3114">
        <v>0.1</v>
      </c>
      <c r="F100" s="3114">
        <v>15</v>
      </c>
    </row>
    <row r="101" spans="1:6" ht="13.5">
      <c r="A101" s="3114">
        <v>29</v>
      </c>
      <c r="B101" s="3825"/>
      <c r="C101" s="3088" t="s">
        <v>2708</v>
      </c>
      <c r="D101" s="3088" t="s">
        <v>2709</v>
      </c>
      <c r="E101" s="3114">
        <v>0.1</v>
      </c>
      <c r="F101" s="3114">
        <v>15</v>
      </c>
    </row>
    <row r="102" spans="1:6" ht="13.5">
      <c r="A102" s="3114">
        <v>30</v>
      </c>
      <c r="B102" s="3825"/>
      <c r="C102" s="3088" t="s">
        <v>2710</v>
      </c>
      <c r="D102" s="3088" t="s">
        <v>2711</v>
      </c>
      <c r="E102" s="3114">
        <v>0.1</v>
      </c>
      <c r="F102" s="3114">
        <v>15</v>
      </c>
    </row>
    <row r="103" spans="1:6" ht="24">
      <c r="A103" s="3114">
        <v>31</v>
      </c>
      <c r="B103" s="3825"/>
      <c r="C103" s="3088" t="s">
        <v>2712</v>
      </c>
      <c r="D103" s="3088" t="s">
        <v>2713</v>
      </c>
      <c r="E103" s="3114">
        <v>0.1</v>
      </c>
      <c r="F103" s="3114">
        <v>15</v>
      </c>
    </row>
    <row r="104" spans="1:6" ht="24">
      <c r="A104" s="3114">
        <v>32</v>
      </c>
      <c r="B104" s="3825"/>
      <c r="C104" s="3088" t="s">
        <v>2714</v>
      </c>
      <c r="D104" s="3088" t="s">
        <v>2715</v>
      </c>
      <c r="E104" s="3114">
        <v>0.1</v>
      </c>
      <c r="F104" s="3114">
        <v>15</v>
      </c>
    </row>
    <row r="105" spans="1:6" ht="24">
      <c r="A105" s="3114">
        <v>33</v>
      </c>
      <c r="B105" s="3825"/>
      <c r="C105" s="3088" t="s">
        <v>2716</v>
      </c>
      <c r="D105" s="3088" t="s">
        <v>2717</v>
      </c>
      <c r="E105" s="3114">
        <v>0.1</v>
      </c>
      <c r="F105" s="3114">
        <v>15</v>
      </c>
    </row>
    <row r="106" spans="1:6" ht="24">
      <c r="A106" s="3114">
        <v>34</v>
      </c>
      <c r="B106" s="3834"/>
      <c r="C106" s="3088" t="s">
        <v>2718</v>
      </c>
      <c r="D106" s="3088" t="s">
        <v>2719</v>
      </c>
      <c r="E106" s="3114">
        <v>0.1</v>
      </c>
      <c r="F106" s="3114">
        <v>15</v>
      </c>
    </row>
    <row r="107" spans="1:6" ht="24">
      <c r="A107" s="3114">
        <v>35</v>
      </c>
      <c r="B107" s="3830" t="s">
        <v>2720</v>
      </c>
      <c r="C107" s="3114" t="s">
        <v>2721</v>
      </c>
      <c r="D107" s="3088" t="s">
        <v>2722</v>
      </c>
      <c r="E107" s="3114">
        <v>0.15</v>
      </c>
      <c r="F107" s="3114">
        <v>20</v>
      </c>
    </row>
    <row r="108" spans="1:6" ht="13.5">
      <c r="A108" s="3114">
        <v>36</v>
      </c>
      <c r="B108" s="3825"/>
      <c r="C108" s="3114" t="s">
        <v>2723</v>
      </c>
      <c r="D108" s="3088" t="s">
        <v>2724</v>
      </c>
      <c r="E108" s="3114">
        <v>0.15</v>
      </c>
      <c r="F108" s="3114">
        <v>20</v>
      </c>
    </row>
    <row r="109" spans="1:6" ht="13.5">
      <c r="A109" s="3114">
        <v>37</v>
      </c>
      <c r="B109" s="3825"/>
      <c r="C109" s="3114" t="s">
        <v>2725</v>
      </c>
      <c r="D109" s="3088" t="s">
        <v>2726</v>
      </c>
      <c r="E109" s="3114">
        <v>0.15</v>
      </c>
      <c r="F109" s="3114">
        <v>20</v>
      </c>
    </row>
    <row r="110" spans="1:6" ht="13.5">
      <c r="A110" s="3114">
        <v>38</v>
      </c>
      <c r="B110" s="3825"/>
      <c r="C110" s="3114" t="s">
        <v>2727</v>
      </c>
      <c r="D110" s="3088" t="s">
        <v>2728</v>
      </c>
      <c r="E110" s="3114">
        <v>0.1</v>
      </c>
      <c r="F110" s="3114">
        <v>15</v>
      </c>
    </row>
    <row r="111" spans="1:6" ht="24">
      <c r="A111" s="3114">
        <v>39</v>
      </c>
      <c r="B111" s="3825"/>
      <c r="C111" s="3114" t="s">
        <v>2729</v>
      </c>
      <c r="D111" s="3088" t="s">
        <v>2730</v>
      </c>
      <c r="E111" s="3114">
        <v>0.1</v>
      </c>
      <c r="F111" s="3114">
        <v>15</v>
      </c>
    </row>
    <row r="112" spans="1:6" ht="24">
      <c r="A112" s="3114">
        <v>40</v>
      </c>
      <c r="B112" s="3834"/>
      <c r="C112" s="3114" t="s">
        <v>2731</v>
      </c>
      <c r="D112" s="3088" t="s">
        <v>2732</v>
      </c>
      <c r="E112" s="3114">
        <v>0.1</v>
      </c>
      <c r="F112" s="3114">
        <v>15</v>
      </c>
    </row>
    <row r="113" spans="1:6" ht="13.5">
      <c r="A113" s="3114">
        <v>41</v>
      </c>
      <c r="B113" s="3835" t="s">
        <v>2733</v>
      </c>
      <c r="C113" s="3114" t="s">
        <v>2734</v>
      </c>
      <c r="D113" s="3088" t="s">
        <v>2735</v>
      </c>
      <c r="E113" s="3114">
        <v>0.1</v>
      </c>
      <c r="F113" s="3114">
        <v>15</v>
      </c>
    </row>
    <row r="114" spans="1:6" ht="13.5">
      <c r="A114" s="3114">
        <v>42</v>
      </c>
      <c r="B114" s="3835"/>
      <c r="C114" s="3114" t="s">
        <v>2736</v>
      </c>
      <c r="D114" s="3088" t="s">
        <v>2737</v>
      </c>
      <c r="E114" s="3114">
        <v>0.1</v>
      </c>
      <c r="F114" s="3114">
        <v>15</v>
      </c>
    </row>
    <row r="115" spans="1:6" ht="24">
      <c r="A115" s="3114">
        <v>43</v>
      </c>
      <c r="B115" s="3835"/>
      <c r="C115" s="3114" t="s">
        <v>2738</v>
      </c>
      <c r="D115" s="3088" t="s">
        <v>2739</v>
      </c>
      <c r="E115" s="3114">
        <v>0.1</v>
      </c>
      <c r="F115" s="3114">
        <v>15</v>
      </c>
    </row>
    <row r="116" spans="1:6" ht="13.5">
      <c r="A116" s="3114">
        <v>44</v>
      </c>
      <c r="B116" s="3830" t="s">
        <v>2740</v>
      </c>
      <c r="C116" s="3114" t="s">
        <v>2741</v>
      </c>
      <c r="D116" s="3088" t="s">
        <v>2742</v>
      </c>
      <c r="E116" s="3114">
        <v>0.1</v>
      </c>
      <c r="F116" s="3114">
        <v>15</v>
      </c>
    </row>
    <row r="117" spans="1:6" ht="24">
      <c r="A117" s="3114">
        <v>45</v>
      </c>
      <c r="B117" s="3834"/>
      <c r="C117" s="3088" t="s">
        <v>2743</v>
      </c>
      <c r="D117" s="3088" t="s">
        <v>2744</v>
      </c>
      <c r="E117" s="3114">
        <v>0.1</v>
      </c>
      <c r="F117" s="3114">
        <v>15</v>
      </c>
    </row>
    <row r="118" spans="1:6" ht="24">
      <c r="A118" s="3114">
        <v>46</v>
      </c>
      <c r="B118" s="3830" t="s">
        <v>2745</v>
      </c>
      <c r="C118" s="3114" t="s">
        <v>2746</v>
      </c>
      <c r="D118" s="3088" t="s">
        <v>2747</v>
      </c>
      <c r="E118" s="3114">
        <v>0.1</v>
      </c>
      <c r="F118" s="3114">
        <v>15</v>
      </c>
    </row>
    <row r="119" spans="1:6" ht="24">
      <c r="A119" s="3114">
        <v>47</v>
      </c>
      <c r="B119" s="3834"/>
      <c r="C119" s="3114" t="s">
        <v>2748</v>
      </c>
      <c r="D119" s="3088" t="s">
        <v>2749</v>
      </c>
      <c r="E119" s="3114">
        <v>0.1</v>
      </c>
      <c r="F119" s="3114">
        <v>15</v>
      </c>
    </row>
    <row r="120" spans="1:6" ht="13.5">
      <c r="A120" s="3114">
        <v>48</v>
      </c>
      <c r="B120" s="3830" t="s">
        <v>2750</v>
      </c>
      <c r="C120" s="3114" t="s">
        <v>2751</v>
      </c>
      <c r="D120" s="3088" t="s">
        <v>2752</v>
      </c>
      <c r="E120" s="3114">
        <v>0.1</v>
      </c>
      <c r="F120" s="3114">
        <v>15</v>
      </c>
    </row>
    <row r="121" spans="1:6" ht="13.5">
      <c r="A121" s="3114">
        <v>49</v>
      </c>
      <c r="B121" s="3834"/>
      <c r="C121" s="3114" t="s">
        <v>2753</v>
      </c>
      <c r="D121" s="3088" t="s">
        <v>2754</v>
      </c>
      <c r="E121" s="3114">
        <v>0.1</v>
      </c>
      <c r="F121" s="3114">
        <v>15</v>
      </c>
    </row>
    <row r="122" spans="1:6" ht="24">
      <c r="A122" s="3114">
        <v>50</v>
      </c>
      <c r="B122" s="3835" t="s">
        <v>2755</v>
      </c>
      <c r="C122" s="3114" t="s">
        <v>2756</v>
      </c>
      <c r="D122" s="3088" t="s">
        <v>2757</v>
      </c>
      <c r="E122" s="3114">
        <v>0.1</v>
      </c>
      <c r="F122" s="3114">
        <v>15</v>
      </c>
    </row>
    <row r="123" spans="1:6" ht="24">
      <c r="A123" s="3114">
        <v>51</v>
      </c>
      <c r="B123" s="3835"/>
      <c r="C123" s="3114" t="s">
        <v>2758</v>
      </c>
      <c r="D123" s="3088" t="s">
        <v>2759</v>
      </c>
      <c r="E123" s="3114">
        <v>0.1</v>
      </c>
      <c r="F123" s="3114">
        <v>15</v>
      </c>
    </row>
    <row r="124" spans="1:6" ht="24">
      <c r="A124" s="3114">
        <v>52</v>
      </c>
      <c r="B124" s="3835" t="s">
        <v>2760</v>
      </c>
      <c r="C124" s="3114" t="s">
        <v>2761</v>
      </c>
      <c r="D124" s="3088" t="s">
        <v>2762</v>
      </c>
      <c r="E124" s="3114">
        <v>0.1</v>
      </c>
      <c r="F124" s="3114">
        <v>15</v>
      </c>
    </row>
    <row r="125" spans="1:6" ht="24">
      <c r="A125" s="3114">
        <v>53</v>
      </c>
      <c r="B125" s="383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5" t="s">
        <v>2768</v>
      </c>
      <c r="C127" s="3114" t="s">
        <v>2769</v>
      </c>
      <c r="D127" s="3088" t="s">
        <v>2770</v>
      </c>
      <c r="E127" s="3114">
        <v>0.1</v>
      </c>
      <c r="F127" s="3114">
        <v>15</v>
      </c>
    </row>
    <row r="128" spans="1:6" ht="13.5">
      <c r="A128" s="3114">
        <v>56</v>
      </c>
      <c r="B128" s="3835"/>
      <c r="C128" s="3114" t="s">
        <v>2771</v>
      </c>
      <c r="D128" s="3088" t="s">
        <v>2772</v>
      </c>
      <c r="E128" s="3114">
        <v>0.1</v>
      </c>
      <c r="F128" s="3114">
        <v>15</v>
      </c>
    </row>
    <row r="129" spans="1:6" ht="24">
      <c r="A129" s="3114">
        <v>57</v>
      </c>
      <c r="B129" s="3835"/>
      <c r="C129" s="3114" t="s">
        <v>2773</v>
      </c>
      <c r="D129" s="3088" t="s">
        <v>2774</v>
      </c>
      <c r="E129" s="3114">
        <v>0.1</v>
      </c>
      <c r="F129" s="3114">
        <v>15</v>
      </c>
    </row>
    <row r="130" spans="1:6" ht="24">
      <c r="A130" s="3114">
        <v>58</v>
      </c>
      <c r="B130" s="3835" t="s">
        <v>2775</v>
      </c>
      <c r="C130" s="3114" t="s">
        <v>2776</v>
      </c>
      <c r="D130" s="3088" t="s">
        <v>2777</v>
      </c>
      <c r="E130" s="3114">
        <v>0.1</v>
      </c>
      <c r="F130" s="3114">
        <v>15</v>
      </c>
    </row>
    <row r="131" spans="1:6" ht="13.5">
      <c r="A131" s="3114">
        <v>59</v>
      </c>
      <c r="B131" s="3835"/>
      <c r="C131" s="3114" t="s">
        <v>2778</v>
      </c>
      <c r="D131" s="3088" t="s">
        <v>2779</v>
      </c>
      <c r="E131" s="3114">
        <v>0.1</v>
      </c>
      <c r="F131" s="3114">
        <v>15</v>
      </c>
    </row>
    <row r="132" spans="1:6" ht="13.5">
      <c r="A132" s="3114">
        <v>60</v>
      </c>
      <c r="B132" s="3830" t="s">
        <v>2780</v>
      </c>
      <c r="C132" s="3114" t="s">
        <v>2781</v>
      </c>
      <c r="D132" s="3088" t="s">
        <v>2782</v>
      </c>
      <c r="E132" s="3114">
        <v>0.1</v>
      </c>
      <c r="F132" s="3114">
        <v>15</v>
      </c>
    </row>
    <row r="133" spans="1:6" ht="13.5">
      <c r="A133" s="3114">
        <v>61</v>
      </c>
      <c r="B133" s="3834"/>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5" t="s">
        <v>2788</v>
      </c>
      <c r="C135" s="3114" t="s">
        <v>2789</v>
      </c>
      <c r="D135" s="3088" t="s">
        <v>2790</v>
      </c>
      <c r="E135" s="3114">
        <v>0.1</v>
      </c>
      <c r="F135" s="3114">
        <v>15</v>
      </c>
    </row>
    <row r="136" spans="1:6" ht="13.5">
      <c r="A136" s="3114">
        <v>64</v>
      </c>
      <c r="B136" s="383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SUMPRODUCT((A95:A184=ROUNDDOWN(基准地价修正!G3,1))*(B94:M94=基准地价修正!G2)*(B95:M184))</f>
        <v>1.2302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SUMPRODUCT((A371:A460=ROUNDDOWN(基准地价修正!G3,1))*(B370:M370=基准地价修正!G2)*(B371:M460))</f>
        <v>1.1198999999999999</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30574</v>
      </c>
      <c r="C2" s="2" t="s">
        <v>106</v>
      </c>
      <c r="D2" s="199"/>
      <c r="E2" s="199"/>
      <c r="F2" s="199"/>
      <c r="G2" s="199"/>
    </row>
    <row r="3" spans="1:7" s="200" customFormat="1" ht="18" customHeight="1" thickBot="1">
      <c r="A3" s="203" t="s">
        <v>58</v>
      </c>
      <c r="B3" s="204">
        <f ca="1">ROUND(B2*10000/'数据-汇总表'!E3,0)</f>
        <v>15115</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405</v>
      </c>
      <c r="D10" s="841">
        <f>'数据-汇总表'!E6</f>
        <v>20228.239999999998</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405</v>
      </c>
      <c r="D19" s="845">
        <f>'数据-汇总表'!E3</f>
        <v>20228.239999999998</v>
      </c>
      <c r="E19" s="211">
        <f>'数据-取费表'!B31</f>
        <v>200</v>
      </c>
      <c r="F19" s="231"/>
      <c r="G19" s="1" t="s">
        <v>435</v>
      </c>
    </row>
    <row r="20" spans="1:7" s="214" customFormat="1" ht="13.5" customHeight="1">
      <c r="A20" s="773" t="s">
        <v>418</v>
      </c>
      <c r="B20" s="210" t="s">
        <v>77</v>
      </c>
      <c r="C20" s="232">
        <f>ROUND((C5+C19)*F20,0)</f>
        <v>630</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1113</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1076</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21</v>
      </c>
      <c r="D24" s="238"/>
      <c r="E24" s="238"/>
      <c r="F24" s="239"/>
      <c r="G24" s="240" t="s">
        <v>82</v>
      </c>
    </row>
    <row r="25" spans="1:7" s="214" customFormat="1" ht="24">
      <c r="A25" s="776" t="s">
        <v>347</v>
      </c>
      <c r="B25" s="215" t="s">
        <v>419</v>
      </c>
      <c r="C25" s="1101">
        <f ca="1">ROUND(IF('数据-取费表'!B22&lt;=1,C20*F22*'数据-取费表'!B23/2,C20*(POWER((1+F22),'数据-取费表'!B23/2)-1)),0)</f>
        <v>16</v>
      </c>
      <c r="D25" s="238"/>
      <c r="E25" s="241"/>
      <c r="F25" s="239"/>
      <c r="G25" s="242" t="s">
        <v>83</v>
      </c>
    </row>
    <row r="26" spans="1:7" s="214" customFormat="1">
      <c r="A26" s="776" t="s">
        <v>349</v>
      </c>
      <c r="B26" s="215" t="s">
        <v>421</v>
      </c>
      <c r="C26" s="238">
        <f ca="1">ROUND(IF('数据-取费表'!B22&lt;=1,F21*F22*'数据-取费表'!B23/2,F21*(POWER((1+F22),'数据-取费表'!B23/2)-1)),4)</f>
        <v>5.0000000000000001E-4</v>
      </c>
      <c r="D26" s="238"/>
      <c r="E26" s="241"/>
      <c r="F26" s="239"/>
      <c r="G26" s="243"/>
    </row>
    <row r="27" spans="1:7" s="214" customFormat="1" ht="24.75">
      <c r="A27" s="773" t="s">
        <v>341</v>
      </c>
      <c r="B27" s="244" t="s">
        <v>85</v>
      </c>
      <c r="C27" s="245">
        <f>C28</f>
        <v>1082</v>
      </c>
      <c r="D27" s="235">
        <f>C29</f>
        <v>1E-3</v>
      </c>
      <c r="E27" s="236" t="s">
        <v>99</v>
      </c>
      <c r="F27" s="246">
        <f>'数据-取费表'!Q16</f>
        <v>0.05</v>
      </c>
      <c r="G27" s="247" t="s">
        <v>430</v>
      </c>
    </row>
    <row r="28" spans="1:7" s="214" customFormat="1" ht="13.5" customHeight="1">
      <c r="A28" s="776" t="s">
        <v>348</v>
      </c>
      <c r="B28" s="248" t="s">
        <v>423</v>
      </c>
      <c r="C28" s="249">
        <f>ROUND((C5+C19+C20)*F27*'数据-取费表'!B21/'数据-取费表'!B20,0)</f>
        <v>1082</v>
      </c>
      <c r="D28" s="235"/>
      <c r="E28" s="236"/>
      <c r="F28" s="246"/>
      <c r="G28" s="247"/>
    </row>
    <row r="29" spans="1:7" s="214" customFormat="1" ht="13.5" customHeight="1">
      <c r="A29" s="776" t="s">
        <v>346</v>
      </c>
      <c r="B29" s="248" t="s">
        <v>424</v>
      </c>
      <c r="C29" s="238">
        <f>ROUND(C21*F27*'数据-取费表'!B21/'数据-取费表'!B20,4)</f>
        <v>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25768</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5816</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5057</v>
      </c>
      <c r="D34" s="217"/>
      <c r="E34" s="220"/>
      <c r="F34" s="257">
        <f>IF('数据-取费表'!B24=0,1,'数据-取费表'!N16)</f>
        <v>1</v>
      </c>
      <c r="G34" s="219" t="s">
        <v>89</v>
      </c>
    </row>
    <row r="35" spans="1:7" ht="13.5" customHeight="1">
      <c r="A35" s="776" t="s">
        <v>350</v>
      </c>
      <c r="B35" s="215" t="s">
        <v>33</v>
      </c>
      <c r="C35" s="220">
        <f>ROUND(C34*F35,0)</f>
        <v>253</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405</v>
      </c>
      <c r="D37" s="217">
        <f>'数据-汇总表'!E3</f>
        <v>20228.239999999998</v>
      </c>
      <c r="E37" s="249">
        <f>'数据-取费表'!B35</f>
        <v>200</v>
      </c>
      <c r="F37" s="259"/>
      <c r="G37" s="261" t="s">
        <v>92</v>
      </c>
    </row>
    <row r="38" spans="1:7" ht="13.5" customHeight="1">
      <c r="A38" s="776" t="s">
        <v>353</v>
      </c>
      <c r="B38" s="215" t="s">
        <v>36</v>
      </c>
      <c r="C38" s="220">
        <f>ROUND(C34*F38,0)</f>
        <v>101</v>
      </c>
      <c r="D38" s="220"/>
      <c r="E38" s="220"/>
      <c r="F38" s="259">
        <f>'数据-取费表'!B36</f>
        <v>0.02</v>
      </c>
      <c r="G38" s="219" t="s">
        <v>90</v>
      </c>
    </row>
    <row r="39" spans="1:7" s="214" customFormat="1" ht="13.5" customHeight="1">
      <c r="A39" s="773" t="s">
        <v>337</v>
      </c>
      <c r="B39" s="210" t="s">
        <v>77</v>
      </c>
      <c r="C39" s="232">
        <f>ROUND(C33*F20,0)</f>
        <v>174</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154</v>
      </c>
      <c r="D41" s="235">
        <f ca="1">C44</f>
        <v>5.0000000000000001E-4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150</v>
      </c>
      <c r="D42" s="238"/>
      <c r="E42" s="238"/>
      <c r="F42" s="239"/>
      <c r="G42" s="3700" t="s">
        <v>94</v>
      </c>
    </row>
    <row r="43" spans="1:7" ht="13.5" customHeight="1">
      <c r="A43" s="776" t="s">
        <v>346</v>
      </c>
      <c r="B43" s="215" t="s">
        <v>425</v>
      </c>
      <c r="C43" s="238">
        <f ca="1">ROUND(IF('数据-取费表'!B22&lt;=1,C39*F22*'数据-取费表'!B21/2,C39*(POWER((1+F22),'数据-取费表'!B21/2)-1)),0)</f>
        <v>4</v>
      </c>
      <c r="D43" s="238"/>
      <c r="E43" s="238"/>
      <c r="F43" s="239"/>
      <c r="G43" s="3701"/>
    </row>
    <row r="44" spans="1:7" ht="13.5" customHeight="1">
      <c r="A44" s="776" t="s">
        <v>347</v>
      </c>
      <c r="B44" s="215" t="s">
        <v>427</v>
      </c>
      <c r="C44" s="238">
        <f ca="1">ROUND(IF('数据-取费表'!B22&lt;=1,C40*F22*'数据-取费表'!B21/2,C40*(POWER((1+F22),'数据-取费表'!B21/2)-1)),4)</f>
        <v>5.0000000000000001E-4</v>
      </c>
      <c r="D44" s="238"/>
      <c r="E44" s="238"/>
      <c r="F44" s="239"/>
      <c r="G44" s="3702"/>
    </row>
    <row r="45" spans="1:7" s="214" customFormat="1" ht="13.5" customHeight="1">
      <c r="A45" s="773" t="s">
        <v>340</v>
      </c>
      <c r="B45" s="244" t="s">
        <v>85</v>
      </c>
      <c r="C45" s="245">
        <f>C46</f>
        <v>300</v>
      </c>
      <c r="D45" s="235">
        <f>C47</f>
        <v>1E-3</v>
      </c>
      <c r="E45" s="236" t="s">
        <v>102</v>
      </c>
      <c r="F45" s="246"/>
      <c r="G45" s="247" t="s">
        <v>433</v>
      </c>
    </row>
    <row r="46" spans="1:7" s="214" customFormat="1" ht="13.5" customHeight="1">
      <c r="A46" s="776" t="s">
        <v>348</v>
      </c>
      <c r="B46" s="248" t="s">
        <v>426</v>
      </c>
      <c r="C46" s="249">
        <f>ROUND((C33+C39)*F27,0)</f>
        <v>300</v>
      </c>
      <c r="D46" s="263"/>
      <c r="E46" s="236"/>
      <c r="F46" s="246"/>
      <c r="G46" s="247"/>
    </row>
    <row r="47" spans="1:7" s="214" customFormat="1" ht="13.5" customHeight="1">
      <c r="A47" s="776" t="s">
        <v>346</v>
      </c>
      <c r="B47" s="248" t="s">
        <v>428</v>
      </c>
      <c r="C47" s="238">
        <f>ROUND(C40*F27,4)</f>
        <v>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6965</v>
      </c>
      <c r="D49" s="232"/>
      <c r="E49" s="232"/>
      <c r="F49" s="264"/>
      <c r="G49" s="234" t="s">
        <v>434</v>
      </c>
    </row>
    <row r="50" spans="1:7" s="258" customFormat="1" ht="24">
      <c r="A50" s="773" t="s">
        <v>343</v>
      </c>
      <c r="B50" s="210" t="s">
        <v>97</v>
      </c>
      <c r="C50" s="232"/>
      <c r="D50" s="232"/>
      <c r="E50" s="232"/>
      <c r="F50" s="264">
        <f>IF('数据-取费表'!B24=0,'数据-取费表'!N16,1)</f>
        <v>0.69</v>
      </c>
      <c r="G50" s="247" t="s">
        <v>98</v>
      </c>
    </row>
    <row r="51" spans="1:7" ht="16.5" customHeight="1">
      <c r="A51" s="773" t="s">
        <v>344</v>
      </c>
      <c r="B51" s="210" t="s">
        <v>105</v>
      </c>
      <c r="C51" s="232">
        <f ca="1">ROUND(C49*F50,0)</f>
        <v>4806</v>
      </c>
      <c r="D51" s="232"/>
      <c r="E51" s="232"/>
      <c r="F51" s="264"/>
      <c r="G51" s="234" t="s">
        <v>37</v>
      </c>
    </row>
    <row r="52" spans="1:7" s="208" customFormat="1" ht="16.5" thickBot="1">
      <c r="A52" s="265" t="s">
        <v>38</v>
      </c>
      <c r="B52" s="266"/>
      <c r="C52" s="267">
        <f ca="1">C31+C51</f>
        <v>30574</v>
      </c>
      <c r="D52" s="266"/>
      <c r="E52" s="266"/>
      <c r="F52" s="266"/>
      <c r="G52" s="268"/>
    </row>
    <row r="55" spans="1:7" ht="15">
      <c r="B55" s="270" t="s">
        <v>39</v>
      </c>
      <c r="C55" s="271"/>
    </row>
    <row r="56" spans="1:7">
      <c r="B56" s="273" t="s">
        <v>40</v>
      </c>
      <c r="C56" s="274">
        <f ca="1">ROUND(C51/C52,3)</f>
        <v>0.157</v>
      </c>
    </row>
    <row r="57" spans="1:7">
      <c r="B57" s="273" t="s">
        <v>41</v>
      </c>
      <c r="C57" s="275">
        <f ca="1">1-C56</f>
        <v>0.84299999999999997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3" t="str">
        <f>项目基本情况!S2</f>
        <v>北京市房地产</v>
      </c>
      <c r="B2" s="3674"/>
      <c r="C2" s="3674"/>
      <c r="D2" s="3674"/>
      <c r="E2" s="3674"/>
      <c r="F2" s="3674"/>
      <c r="G2" s="3674"/>
      <c r="H2" s="3674"/>
      <c r="I2" s="3675"/>
    </row>
    <row r="3" spans="1:12" ht="12.75">
      <c r="A3" s="3677" t="s">
        <v>1261</v>
      </c>
      <c r="B3" s="3678"/>
      <c r="C3" s="3678"/>
      <c r="D3" s="3678"/>
      <c r="E3" s="3678"/>
      <c r="F3" s="3678"/>
      <c r="G3" s="3678"/>
      <c r="H3" s="3678"/>
      <c r="I3" s="3678"/>
    </row>
    <row r="4" spans="1:12" ht="14.25">
      <c r="A4" s="1750" t="s">
        <v>1262</v>
      </c>
      <c r="B4" s="1751" t="s">
        <v>1263</v>
      </c>
      <c r="C4" s="1752" t="s">
        <v>3454</v>
      </c>
      <c r="D4" s="1752" t="s">
        <v>3450</v>
      </c>
      <c r="E4" s="3682" t="s">
        <v>1264</v>
      </c>
      <c r="F4" s="3683"/>
      <c r="G4" s="3683"/>
      <c r="H4" s="3683"/>
      <c r="I4" s="3684"/>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1" t="s">
        <v>1265</v>
      </c>
      <c r="B5" s="3676">
        <v>25</v>
      </c>
      <c r="C5" s="3679"/>
      <c r="D5" s="3667"/>
      <c r="E5" s="131" t="s">
        <v>1266</v>
      </c>
      <c r="F5" s="1753"/>
      <c r="G5" s="1753"/>
      <c r="H5" s="1753"/>
      <c r="I5" s="1369"/>
    </row>
    <row r="6" spans="1:12" ht="12.75">
      <c r="A6" s="3621"/>
      <c r="B6" s="3676"/>
      <c r="C6" s="3681"/>
      <c r="D6" s="3667"/>
      <c r="E6" s="131" t="s">
        <v>1267</v>
      </c>
      <c r="F6" s="1753"/>
      <c r="G6" s="1753"/>
      <c r="H6" s="1753"/>
      <c r="I6" s="1369"/>
    </row>
    <row r="7" spans="1:12" ht="12.75">
      <c r="A7" s="3621"/>
      <c r="B7" s="3676"/>
      <c r="C7" s="3680"/>
      <c r="D7" s="3667"/>
      <c r="E7" s="131" t="s">
        <v>1268</v>
      </c>
      <c r="F7" s="1753"/>
      <c r="G7" s="1753"/>
      <c r="H7" s="1753"/>
      <c r="I7" s="1369"/>
    </row>
    <row r="8" spans="1:12" ht="12.75">
      <c r="A8" s="3621" t="s">
        <v>1269</v>
      </c>
      <c r="B8" s="3676">
        <v>15</v>
      </c>
      <c r="C8" s="3679"/>
      <c r="D8" s="3667"/>
      <c r="E8" s="131" t="s">
        <v>1270</v>
      </c>
      <c r="F8" s="1753"/>
      <c r="G8" s="1753"/>
      <c r="H8" s="1753"/>
      <c r="I8" s="1369"/>
    </row>
    <row r="9" spans="1:12" ht="12.75">
      <c r="A9" s="3621"/>
      <c r="B9" s="3676"/>
      <c r="C9" s="3680"/>
      <c r="D9" s="3667"/>
      <c r="E9" s="131" t="s">
        <v>1271</v>
      </c>
      <c r="F9" s="1753"/>
      <c r="G9" s="1753"/>
      <c r="H9" s="1753"/>
      <c r="I9" s="1369"/>
    </row>
    <row r="10" spans="1:12" ht="12.75">
      <c r="A10" s="3621" t="s">
        <v>1272</v>
      </c>
      <c r="B10" s="3676">
        <v>15</v>
      </c>
      <c r="C10" s="3679"/>
      <c r="D10" s="3667"/>
      <c r="E10" s="131" t="s">
        <v>1273</v>
      </c>
      <c r="F10" s="1753"/>
      <c r="G10" s="1753"/>
      <c r="H10" s="1753"/>
      <c r="I10" s="1369"/>
    </row>
    <row r="11" spans="1:12" ht="12.75">
      <c r="A11" s="3621"/>
      <c r="B11" s="3676"/>
      <c r="C11" s="3680"/>
      <c r="D11" s="3667"/>
      <c r="E11" s="131" t="s">
        <v>1274</v>
      </c>
      <c r="F11" s="1753"/>
      <c r="G11" s="1753"/>
      <c r="H11" s="1753"/>
      <c r="I11" s="1369"/>
    </row>
    <row r="12" spans="1:12" ht="12.75">
      <c r="A12" s="3621" t="s">
        <v>1275</v>
      </c>
      <c r="B12" s="3676">
        <v>15</v>
      </c>
      <c r="C12" s="3679"/>
      <c r="D12" s="3667"/>
      <c r="E12" s="131" t="s">
        <v>1276</v>
      </c>
      <c r="F12" s="1753"/>
      <c r="G12" s="1753"/>
      <c r="H12" s="1753"/>
      <c r="I12" s="1369"/>
    </row>
    <row r="13" spans="1:12" ht="12.75">
      <c r="A13" s="3621"/>
      <c r="B13" s="3676"/>
      <c r="C13" s="3680"/>
      <c r="D13" s="3667"/>
      <c r="E13" s="131" t="s">
        <v>1277</v>
      </c>
      <c r="F13" s="1753"/>
      <c r="G13" s="1753"/>
      <c r="H13" s="1753"/>
      <c r="I13" s="1369"/>
    </row>
    <row r="14" spans="1:12" ht="12.75">
      <c r="A14" s="3621" t="s">
        <v>1278</v>
      </c>
      <c r="B14" s="3676">
        <v>30</v>
      </c>
      <c r="C14" s="3836">
        <v>55</v>
      </c>
      <c r="D14" s="3839">
        <v>45</v>
      </c>
      <c r="E14" s="131" t="s">
        <v>1279</v>
      </c>
      <c r="F14" s="1753"/>
      <c r="G14" s="1753"/>
      <c r="H14" s="1753"/>
      <c r="I14" s="1369"/>
    </row>
    <row r="15" spans="1:12" ht="12.75">
      <c r="A15" s="3621"/>
      <c r="B15" s="3676"/>
      <c r="C15" s="3837"/>
      <c r="D15" s="3839"/>
      <c r="E15" s="131" t="s">
        <v>1280</v>
      </c>
      <c r="F15" s="1753"/>
      <c r="G15" s="1753"/>
      <c r="H15" s="1753"/>
      <c r="I15" s="1369"/>
    </row>
    <row r="16" spans="1:12" ht="12.75">
      <c r="A16" s="3621"/>
      <c r="B16" s="3676"/>
      <c r="C16" s="3838"/>
      <c r="D16" s="3839"/>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8" t="s">
        <v>2126</v>
      </c>
      <c r="F18" s="3699"/>
      <c r="G18" s="3699"/>
      <c r="H18" s="3699"/>
      <c r="I18" s="3699"/>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1" t="s">
        <v>1296</v>
      </c>
      <c r="B24" s="1758" t="s">
        <v>1288</v>
      </c>
      <c r="C24" s="136">
        <f>IF(B30=0,0,D30)</f>
        <v>0</v>
      </c>
      <c r="D24" s="1765"/>
      <c r="E24" s="129"/>
      <c r="F24" s="129"/>
      <c r="G24" s="129"/>
      <c r="H24" s="129"/>
      <c r="I24" s="129"/>
    </row>
    <row r="25" spans="1:36" ht="14.25">
      <c r="A25" s="3692"/>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8" t="s">
        <v>1309</v>
      </c>
      <c r="B36" s="1783" t="s">
        <v>1310</v>
      </c>
      <c r="C36" s="145"/>
      <c r="D36" s="1784"/>
      <c r="E36" s="1785"/>
      <c r="F36" s="1786"/>
      <c r="G36" s="129"/>
      <c r="H36" s="129"/>
      <c r="I36" s="129"/>
    </row>
    <row r="37" spans="1:15" ht="15.75" thickBot="1">
      <c r="A37" s="3669"/>
      <c r="B37" s="1670" t="s">
        <v>1311</v>
      </c>
      <c r="C37" s="147"/>
      <c r="D37" s="1135"/>
      <c r="E37" s="1135"/>
      <c r="F37" s="1786"/>
      <c r="G37" s="129"/>
      <c r="H37" s="129"/>
      <c r="I37" s="129"/>
    </row>
    <row r="38" spans="1:15" ht="15.75" thickBot="1">
      <c r="A38" s="3670"/>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8" t="s">
        <v>1323</v>
      </c>
      <c r="B45" s="3689"/>
      <c r="C45" s="3690"/>
      <c r="D45" s="155" t="e">
        <f ca="1">ROUND(H101*F45,0)</f>
        <v>#N/A</v>
      </c>
      <c r="E45" s="156" t="s">
        <v>1324</v>
      </c>
      <c r="F45" s="157">
        <v>1</v>
      </c>
      <c r="G45" s="158" t="s">
        <v>1325</v>
      </c>
      <c r="H45" s="129"/>
      <c r="I45" s="129"/>
      <c r="J45" s="3608" t="s">
        <v>1326</v>
      </c>
      <c r="K45" s="3608"/>
      <c r="L45" s="3608"/>
      <c r="M45" s="3608"/>
      <c r="N45" s="3608"/>
      <c r="O45" s="3608"/>
    </row>
    <row r="46" spans="1:15" ht="14.25" customHeight="1">
      <c r="A46" s="3685" t="s">
        <v>1327</v>
      </c>
      <c r="B46" s="3686"/>
      <c r="C46" s="3686"/>
      <c r="D46" s="3686"/>
      <c r="E46" s="3686"/>
      <c r="F46" s="3686"/>
      <c r="G46" s="3687"/>
      <c r="H46" s="1802"/>
      <c r="I46" s="159"/>
      <c r="J46" s="3462">
        <v>1</v>
      </c>
      <c r="K46" s="3609" t="s">
        <v>1328</v>
      </c>
      <c r="L46" s="3609"/>
      <c r="M46" s="3610"/>
      <c r="N46" s="3610"/>
      <c r="O46" s="3610"/>
    </row>
    <row r="47" spans="1:15" ht="12" customHeight="1">
      <c r="A47" s="160" t="s">
        <v>1329</v>
      </c>
      <c r="B47" s="161"/>
      <c r="C47" s="162"/>
      <c r="D47" s="1083" t="s">
        <v>1330</v>
      </c>
      <c r="E47" s="302" t="s">
        <v>1331</v>
      </c>
      <c r="F47" s="163" t="s">
        <v>1332</v>
      </c>
      <c r="G47" s="2542" t="s">
        <v>1333</v>
      </c>
      <c r="H47" s="2543"/>
      <c r="I47" s="159"/>
      <c r="J47" s="3462">
        <v>2</v>
      </c>
      <c r="K47" s="3609" t="s">
        <v>1334</v>
      </c>
      <c r="L47" s="3609"/>
      <c r="M47" s="3611">
        <f>'数据-取费表'!B2</f>
        <v>45467</v>
      </c>
      <c r="N47" s="3611"/>
      <c r="O47" s="3611"/>
    </row>
    <row r="48" spans="1:15" ht="25.5">
      <c r="A48" s="3671" t="s">
        <v>1335</v>
      </c>
      <c r="B48" s="3672"/>
      <c r="C48" s="3672"/>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09" t="s">
        <v>1337</v>
      </c>
      <c r="L48" s="3609"/>
      <c r="M48" s="3612" t="e">
        <f ca="1">H101</f>
        <v>#N/A</v>
      </c>
      <c r="N48" s="3612"/>
      <c r="O48" s="3612"/>
    </row>
    <row r="49" spans="1:35" ht="25.5" customHeight="1">
      <c r="A49" s="3472" t="s">
        <v>1338</v>
      </c>
      <c r="B49" s="3657" t="s">
        <v>1339</v>
      </c>
      <c r="C49" s="3657"/>
      <c r="D49" s="1586">
        <v>0</v>
      </c>
      <c r="E49" s="324" t="s">
        <v>1340</v>
      </c>
      <c r="F49" s="3455" t="s">
        <v>28</v>
      </c>
      <c r="G49" s="3640"/>
      <c r="H49" s="2306" t="s">
        <v>2129</v>
      </c>
      <c r="I49" s="2307"/>
      <c r="J49" s="3462">
        <v>4</v>
      </c>
      <c r="K49" s="3609" t="str">
        <f>IF(项目基本情况!E8="房地产抵押价值","房地产抵押价值","抵押担保权已注销时的房地产抵押价值")</f>
        <v>房地产抵押价值</v>
      </c>
      <c r="L49" s="3609"/>
      <c r="M49" s="3612" t="e">
        <f ca="1">IF(项目基本情况!E8="房地产抵押价值",H107,H109)</f>
        <v>#N/A</v>
      </c>
      <c r="N49" s="3612"/>
      <c r="O49" s="3612"/>
    </row>
    <row r="50" spans="1:35" ht="25.5" customHeight="1">
      <c r="A50" s="2547"/>
      <c r="B50" s="3657" t="s">
        <v>1341</v>
      </c>
      <c r="C50" s="3657"/>
      <c r="D50" s="2548"/>
      <c r="E50" s="332"/>
      <c r="F50" s="3455"/>
      <c r="G50" s="3641"/>
      <c r="H50" s="2308" t="s">
        <v>2130</v>
      </c>
      <c r="I50" s="2307"/>
      <c r="J50" s="3608" t="s">
        <v>1342</v>
      </c>
      <c r="K50" s="3608"/>
      <c r="L50" s="3608"/>
      <c r="M50" s="3608"/>
      <c r="N50" s="3608"/>
      <c r="O50" s="3608"/>
    </row>
    <row r="51" spans="1:35" ht="20.45" customHeight="1">
      <c r="A51" s="2549"/>
      <c r="B51" s="3657" t="s">
        <v>1343</v>
      </c>
      <c r="C51" s="3657"/>
      <c r="D51" s="1083"/>
      <c r="E51" s="327"/>
      <c r="F51" s="3455"/>
      <c r="G51" s="3642"/>
      <c r="H51" s="2308" t="s">
        <v>2131</v>
      </c>
      <c r="I51" s="2307"/>
      <c r="J51" s="3456" t="s">
        <v>1344</v>
      </c>
      <c r="K51" s="3609" t="s">
        <v>1345</v>
      </c>
      <c r="L51" s="3609"/>
      <c r="M51" s="3456" t="s">
        <v>1346</v>
      </c>
      <c r="N51" s="3456" t="s">
        <v>1347</v>
      </c>
      <c r="O51" s="3456" t="s">
        <v>1348</v>
      </c>
    </row>
    <row r="52" spans="1:35" ht="24" customHeight="1">
      <c r="A52" s="3475" t="s">
        <v>1349</v>
      </c>
      <c r="B52" s="3657" t="s">
        <v>1350</v>
      </c>
      <c r="C52" s="3657"/>
      <c r="D52" s="1083" t="e">
        <f ca="1">ROUND(D45*'数据-取费表'!B41/(1+'数据-取费表'!C42),0)</f>
        <v>#N/A</v>
      </c>
      <c r="E52" s="3473" t="s">
        <v>1351</v>
      </c>
      <c r="F52" s="2550">
        <f>'数据-取费表'!B41</f>
        <v>5.6000000000000001E-2</v>
      </c>
      <c r="G52" s="2551"/>
      <c r="H52" s="2540"/>
      <c r="I52" s="1803"/>
      <c r="J52" s="3462">
        <v>1</v>
      </c>
      <c r="K52" s="3634" t="s">
        <v>1352</v>
      </c>
      <c r="L52" s="3634"/>
      <c r="M52" s="2521" t="b">
        <f>D48</f>
        <v>0</v>
      </c>
      <c r="N52" s="3462" t="str">
        <f>E48</f>
        <v>销售额×税（费）率</v>
      </c>
      <c r="O52" s="2522">
        <f>F48</f>
        <v>5.6000000000000001E-2</v>
      </c>
    </row>
    <row r="53" spans="1:35" ht="12" customHeight="1">
      <c r="A53" s="3475" t="s">
        <v>1353</v>
      </c>
      <c r="B53" s="3658" t="s">
        <v>2286</v>
      </c>
      <c r="C53" s="3659"/>
      <c r="D53" s="1083" t="e">
        <f ca="1">ROUND(D45*'数据-取费表'!B41/(1+'数据-取费表'!C42),0)</f>
        <v>#N/A</v>
      </c>
      <c r="E53" s="3473" t="s">
        <v>1351</v>
      </c>
      <c r="F53" s="2550">
        <f>'数据-取费表'!B41</f>
        <v>5.6000000000000001E-2</v>
      </c>
      <c r="G53" s="2551"/>
      <c r="H53" s="2540"/>
      <c r="I53" s="1803"/>
      <c r="J53" s="3462">
        <v>2</v>
      </c>
      <c r="K53" s="3634" t="s">
        <v>1354</v>
      </c>
      <c r="L53" s="3634"/>
      <c r="M53" s="2521" t="e">
        <f t="shared" ref="M53:O54" ca="1" si="0">D55</f>
        <v>#N/A</v>
      </c>
      <c r="N53" s="3462" t="str">
        <f t="shared" si="0"/>
        <v>销售额×税（费）率</v>
      </c>
      <c r="O53" s="2522" t="str">
        <f t="shared" si="0"/>
        <v>免征</v>
      </c>
    </row>
    <row r="54" spans="1:35" ht="12" customHeight="1">
      <c r="A54" s="3475" t="s">
        <v>1355</v>
      </c>
      <c r="B54" s="3658" t="s">
        <v>2287</v>
      </c>
      <c r="C54" s="3659"/>
      <c r="D54" s="1083" t="e">
        <f ca="1">C68</f>
        <v>#N/A</v>
      </c>
      <c r="E54" s="327" t="s">
        <v>1356</v>
      </c>
      <c r="F54" s="2550">
        <f>'数据-取费表'!B41</f>
        <v>5.6000000000000001E-2</v>
      </c>
      <c r="G54" s="2551"/>
      <c r="H54" s="2552"/>
      <c r="I54" s="1803"/>
      <c r="J54" s="3462">
        <v>3</v>
      </c>
      <c r="K54" s="3634" t="s">
        <v>1357</v>
      </c>
      <c r="L54" s="3634"/>
      <c r="M54" s="2521" t="e">
        <f t="shared" ca="1" si="0"/>
        <v>#N/A</v>
      </c>
      <c r="N54" s="3462" t="str">
        <f t="shared" si="0"/>
        <v>增值额×税（费）率</v>
      </c>
      <c r="O54" s="2523" t="str">
        <f t="shared" si="0"/>
        <v>免征</v>
      </c>
    </row>
    <row r="55" spans="1:35" ht="24" customHeight="1">
      <c r="A55" s="3694" t="s">
        <v>1358</v>
      </c>
      <c r="B55" s="3672"/>
      <c r="C55" s="3672"/>
      <c r="D55" s="3457" t="e">
        <f ca="1">IF(H55="个人住宅",0,ROUND(D45*I55,0))</f>
        <v>#N/A</v>
      </c>
      <c r="E55" s="3473" t="s">
        <v>1359</v>
      </c>
      <c r="F55" s="2550" t="str">
        <f>IF(H55="正常",I55,"免征")</f>
        <v>免征</v>
      </c>
      <c r="G55" s="2551"/>
      <c r="H55" s="2546"/>
      <c r="I55" s="165">
        <f>'数据-取费表'!B49</f>
        <v>5.0000000000000001E-4</v>
      </c>
      <c r="J55" s="3462">
        <f>IF(H59="非个人房产","",4)</f>
        <v>4</v>
      </c>
      <c r="K55" s="3634" t="str">
        <f>IF(H59="非个人房产","——","个人所得税")</f>
        <v>个人所得税</v>
      </c>
      <c r="L55" s="3634"/>
      <c r="M55" s="2524" t="e">
        <f ca="1">D59</f>
        <v>#N/A</v>
      </c>
      <c r="N55" s="3463" t="str">
        <f>E59</f>
        <v>差额计税</v>
      </c>
      <c r="O55" s="2525">
        <f>F59</f>
        <v>0.01</v>
      </c>
    </row>
    <row r="56" spans="1:35" ht="24.75">
      <c r="A56" s="3694" t="s">
        <v>1360</v>
      </c>
      <c r="B56" s="3672"/>
      <c r="C56" s="3672"/>
      <c r="D56" s="3457" t="e">
        <f ca="1">IF(H56="个人住宅",D57,D58)</f>
        <v>#N/A</v>
      </c>
      <c r="E56" s="3473" t="s">
        <v>1361</v>
      </c>
      <c r="F56" s="2550" t="str">
        <f>IF(H56="正常",F58,"免征")</f>
        <v>免征</v>
      </c>
      <c r="G56" s="2553" t="s">
        <v>1362</v>
      </c>
      <c r="H56" s="2554"/>
      <c r="I56" s="1804"/>
      <c r="J56" s="3462" t="str">
        <f>IF(项目基本情况!K6="上海银行",IF(J55="",4,J55+1),"")</f>
        <v/>
      </c>
      <c r="K56" s="3615" t="str">
        <f>IF(项目基本情况!K6="上海银行","其他处置费用","")</f>
        <v/>
      </c>
      <c r="L56" s="3616"/>
      <c r="M56" s="2521" t="str">
        <f>IF(项目基本情况!K6="上海银行",M69,"")</f>
        <v/>
      </c>
      <c r="N56" s="3615" t="str">
        <f>IF(项目基本情况!K6="上海银行","包含处置中涉及的律师、诉讼、拍卖、评估等费用","")</f>
        <v/>
      </c>
      <c r="O56" s="3618"/>
    </row>
    <row r="57" spans="1:35" ht="12.75">
      <c r="A57" s="3475" t="s">
        <v>1338</v>
      </c>
      <c r="B57" s="3658" t="s">
        <v>1363</v>
      </c>
      <c r="C57" s="3659"/>
      <c r="D57" s="1586">
        <v>0</v>
      </c>
      <c r="E57" s="324" t="s">
        <v>1340</v>
      </c>
      <c r="F57" s="302"/>
      <c r="G57" s="2551"/>
      <c r="H57" s="2555"/>
      <c r="I57" s="1804"/>
      <c r="J57" s="3634">
        <f>IF(AND(J55="",J56=""),4,IF(项目基本情况!K6="上海银行",'结果表-6号楼'!J56+1,'结果表-6号楼'!J55+1))</f>
        <v>5</v>
      </c>
      <c r="K57" s="3634" t="s">
        <v>1364</v>
      </c>
      <c r="L57" s="2526" t="s">
        <v>1365</v>
      </c>
      <c r="M57" s="2527"/>
      <c r="N57" s="2528">
        <f ca="1">SUMIF(M52:M56,"&lt;9e307")</f>
        <v>0</v>
      </c>
      <c r="O57" s="2529"/>
      <c r="P57" s="2686" t="e">
        <f ca="1">N57/M49</f>
        <v>#N/A</v>
      </c>
    </row>
    <row r="58" spans="1:35" ht="24.75">
      <c r="A58" s="3475" t="s">
        <v>1349</v>
      </c>
      <c r="B58" s="3658" t="s">
        <v>1366</v>
      </c>
      <c r="C58" s="3657"/>
      <c r="D58" s="3457" t="e">
        <f ca="1">IF(H58="转让取得",C81,C97)</f>
        <v>#N/A</v>
      </c>
      <c r="E58" s="3473" t="s">
        <v>1361</v>
      </c>
      <c r="F58" s="302" t="s">
        <v>28</v>
      </c>
      <c r="G58" s="2551"/>
      <c r="H58" s="2554"/>
      <c r="I58" s="1804"/>
      <c r="J58" s="3634"/>
      <c r="K58" s="3634"/>
      <c r="L58" s="2526" t="s">
        <v>1367</v>
      </c>
      <c r="M58" s="2530"/>
      <c r="N58" s="2531" t="str">
        <f ca="1">NUMBERSTRING(INT(N57*10000),2)&amp;"元整"</f>
        <v>零元整</v>
      </c>
      <c r="O58" s="2532"/>
    </row>
    <row r="59" spans="1:35" ht="24.75" thickBot="1">
      <c r="A59" s="3638" t="s">
        <v>1368</v>
      </c>
      <c r="B59" s="3639"/>
      <c r="C59" s="3639"/>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6">
        <f>J57+1</f>
        <v>6</v>
      </c>
      <c r="K59" s="3634" t="s">
        <v>1369</v>
      </c>
      <c r="L59" s="3462" t="s">
        <v>1365</v>
      </c>
      <c r="M59" s="2533"/>
      <c r="N59" s="2534" t="e">
        <f ca="1">M49-N57</f>
        <v>#N/A</v>
      </c>
      <c r="O59" s="2535"/>
    </row>
    <row r="60" spans="1:35" ht="12" customHeight="1">
      <c r="A60" s="1805"/>
      <c r="B60" s="1743"/>
      <c r="C60" s="1743"/>
      <c r="D60" s="1743"/>
      <c r="E60" s="1574"/>
      <c r="F60" s="1804"/>
      <c r="G60" s="1804"/>
      <c r="H60" s="1806"/>
      <c r="I60" s="129"/>
      <c r="J60" s="3637"/>
      <c r="K60" s="3634"/>
      <c r="L60" s="2526" t="s">
        <v>1367</v>
      </c>
      <c r="M60" s="2530"/>
      <c r="N60" s="2531" t="e">
        <f ca="1">NUMBERSTRING(INT(N59*10000),2)&amp;"元整"</f>
        <v>#N/A</v>
      </c>
      <c r="O60" s="2532"/>
    </row>
    <row r="61" spans="1:35" ht="13.5" thickBot="1">
      <c r="A61" s="3693" t="s">
        <v>1370</v>
      </c>
      <c r="B61" s="3693"/>
      <c r="C61" s="3693"/>
      <c r="D61" s="3693"/>
      <c r="E61" s="3693"/>
      <c r="F61" s="1804"/>
      <c r="G61" s="1804"/>
      <c r="H61" s="1806"/>
      <c r="I61" s="129"/>
      <c r="J61" s="3462">
        <f>J59+1</f>
        <v>7</v>
      </c>
      <c r="K61" s="3634" t="s">
        <v>1371</v>
      </c>
      <c r="L61" s="3634"/>
      <c r="M61" s="2536"/>
      <c r="N61" s="2537" t="e">
        <f ca="1">ROUND(N59*10000/'数据-汇总表'!E3,0)</f>
        <v>#N/A</v>
      </c>
      <c r="O61" s="2538"/>
    </row>
    <row r="62" spans="1:35" ht="12.75">
      <c r="A62" s="3653" t="s">
        <v>1372</v>
      </c>
      <c r="B62" s="3654"/>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7"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7"/>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7"/>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7"/>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7"/>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7"/>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7"/>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1" t="s">
        <v>1391</v>
      </c>
      <c r="B70" s="3662"/>
      <c r="C70" s="3662"/>
      <c r="D70" s="3662"/>
      <c r="E70" s="3662"/>
      <c r="F70" s="3662"/>
      <c r="G70" s="3662"/>
      <c r="H70" s="366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3" t="s">
        <v>1372</v>
      </c>
      <c r="B71" s="3654"/>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8" t="s">
        <v>1399</v>
      </c>
      <c r="F76" s="3657"/>
      <c r="G76" s="3657"/>
      <c r="H76" s="366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0" t="s">
        <v>1403</v>
      </c>
      <c r="F78" s="3651"/>
      <c r="G78" s="3651"/>
      <c r="H78" s="365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1" t="s">
        <v>1407</v>
      </c>
      <c r="B83" s="3662"/>
      <c r="C83" s="3662"/>
      <c r="D83" s="3662"/>
      <c r="E83" s="3662"/>
      <c r="F83" s="3662"/>
      <c r="G83" s="3662"/>
      <c r="H83" s="366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3" t="s">
        <v>1372</v>
      </c>
      <c r="B84" s="3654"/>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19" t="s">
        <v>2124</v>
      </c>
      <c r="H90" s="362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0" t="s">
        <v>1416</v>
      </c>
      <c r="F91" s="3651"/>
      <c r="G91" s="365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0" t="s">
        <v>1419</v>
      </c>
      <c r="F92" s="3651"/>
      <c r="G92" s="3651"/>
      <c r="H92" s="3652"/>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0" t="s">
        <v>1403</v>
      </c>
      <c r="F93" s="3651"/>
      <c r="G93" s="3651"/>
      <c r="H93" s="365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5" t="s">
        <v>1423</v>
      </c>
      <c r="F94" s="3696"/>
      <c r="G94" s="3696"/>
      <c r="H94" s="369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0" t="s">
        <v>1425</v>
      </c>
      <c r="B100" s="3601"/>
      <c r="C100" s="3601"/>
      <c r="D100" s="3635"/>
      <c r="E100" s="3601" t="s">
        <v>1426</v>
      </c>
      <c r="F100" s="3601"/>
      <c r="G100" s="3601"/>
      <c r="H100" s="3635"/>
      <c r="I100" s="129"/>
    </row>
    <row r="101" spans="1:35" ht="18.75" customHeight="1">
      <c r="A101" s="3643" t="s">
        <v>1427</v>
      </c>
      <c r="B101" s="3644"/>
      <c r="C101" s="2581" t="str">
        <f>C4</f>
        <v>成本法-6号楼</v>
      </c>
      <c r="D101" s="2582" t="str">
        <f>D4</f>
        <v>收益法-6号楼</v>
      </c>
      <c r="E101" s="3613" t="s">
        <v>1428</v>
      </c>
      <c r="F101" s="3614"/>
      <c r="G101" s="1823" t="s">
        <v>1429</v>
      </c>
      <c r="H101" s="2591" t="e">
        <f ca="1">H118</f>
        <v>#N/A</v>
      </c>
      <c r="I101" s="129"/>
    </row>
    <row r="102" spans="1:35" ht="18.75" customHeight="1">
      <c r="A102" s="3645" t="s">
        <v>1430</v>
      </c>
      <c r="B102" s="2580" t="s">
        <v>1429</v>
      </c>
      <c r="C102" s="2581" t="e">
        <f ca="1">IF(D32="楼面单价",ROUND(C19,0),C19)</f>
        <v>#N/A</v>
      </c>
      <c r="D102" s="2582" t="e">
        <f ca="1">IF(D32="楼面单价",ROUND(D19,0),D19)</f>
        <v>#N/A</v>
      </c>
      <c r="E102" s="3613"/>
      <c r="F102" s="3614"/>
      <c r="G102" s="1823" t="s">
        <v>1431</v>
      </c>
      <c r="H102" s="2551" t="e">
        <f ca="1">I118</f>
        <v>#N/A</v>
      </c>
      <c r="I102" s="129"/>
    </row>
    <row r="103" spans="1:35" ht="42.75" customHeight="1">
      <c r="A103" s="3645"/>
      <c r="B103" s="2580" t="s">
        <v>1431</v>
      </c>
      <c r="C103" s="2583" t="e">
        <f ca="1">C20</f>
        <v>#N/A</v>
      </c>
      <c r="D103" s="2584">
        <f ca="1">D20</f>
        <v>0</v>
      </c>
      <c r="E103" s="3606" t="s">
        <v>1432</v>
      </c>
      <c r="F103" s="3607"/>
      <c r="G103" s="1824" t="s">
        <v>1433</v>
      </c>
      <c r="H103" s="2591">
        <f>IF(D36="正常操作",H104+H105+H106,H105+H106)</f>
        <v>0</v>
      </c>
      <c r="I103" s="129"/>
    </row>
    <row r="104" spans="1:35" ht="18.75" customHeight="1">
      <c r="A104" s="3645"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5"/>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6" t="str">
        <f>IF(项目基本情况!E8="已注销","——","3.房地产抵押价值")</f>
        <v>3.房地产抵押价值</v>
      </c>
      <c r="F107" s="3614"/>
      <c r="G107" s="1823" t="s">
        <v>1429</v>
      </c>
      <c r="H107" s="2591" t="e">
        <f ca="1">IF(E107="——","——",H101-H103)</f>
        <v>#N/A</v>
      </c>
      <c r="I107" s="129"/>
    </row>
    <row r="108" spans="1:35" ht="18.75" customHeight="1">
      <c r="A108" s="129"/>
      <c r="B108" s="129"/>
      <c r="C108" s="129"/>
      <c r="D108" s="129"/>
      <c r="E108" s="3646"/>
      <c r="F108" s="3614"/>
      <c r="G108" s="1823" t="s">
        <v>1431</v>
      </c>
      <c r="H108" s="2551" t="e">
        <f ca="1">IF(H107=H101,H102,ROUND(H107*10000/'数据-汇总表'!E3,0))</f>
        <v>#N/A</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14"/>
      <c r="G109" s="1823" t="s">
        <v>1429</v>
      </c>
      <c r="H109" s="2594" t="str">
        <f>IF(E109="——","——",H101-H105-H106)</f>
        <v>——</v>
      </c>
      <c r="I109" s="129"/>
    </row>
    <row r="110" spans="1:35" ht="18.75" customHeight="1">
      <c r="A110" s="129"/>
      <c r="B110" s="129"/>
      <c r="C110" s="129"/>
      <c r="D110" s="129"/>
      <c r="E110" s="3646"/>
      <c r="F110" s="3614"/>
      <c r="G110" s="1823" t="s">
        <v>1431</v>
      </c>
      <c r="H110" s="2551"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4.抵押净值</v>
      </c>
      <c r="F111" s="3633"/>
      <c r="G111" s="1823" t="s">
        <v>1429</v>
      </c>
      <c r="H111" s="2591" t="e">
        <f ca="1">IF(E111="——","——",N59)</f>
        <v>#N/A</v>
      </c>
      <c r="I111" s="129"/>
    </row>
    <row r="112" spans="1:35" ht="18.75" customHeight="1" thickBot="1">
      <c r="A112" s="129"/>
      <c r="B112" s="129"/>
      <c r="C112" s="129"/>
      <c r="D112" s="129"/>
      <c r="E112" s="3648"/>
      <c r="F112" s="3649"/>
      <c r="G112" s="1826" t="s">
        <v>1431</v>
      </c>
      <c r="H112" s="2595" t="e">
        <f ca="1">IF(E111="——","——",N61)</f>
        <v>#N/A</v>
      </c>
      <c r="I112" s="129"/>
    </row>
    <row r="113" spans="1:27" ht="18.75" customHeight="1">
      <c r="A113" s="129"/>
      <c r="B113" s="129"/>
      <c r="C113" s="129"/>
      <c r="D113" s="129"/>
      <c r="E113" s="3656" t="s">
        <v>1437</v>
      </c>
      <c r="F113" s="3656"/>
      <c r="G113" s="3656"/>
      <c r="H113" s="3656"/>
      <c r="I113" s="129"/>
    </row>
    <row r="114" spans="1:27" ht="3.75" customHeight="1">
      <c r="A114" s="1743"/>
      <c r="B114" s="1743"/>
      <c r="C114" s="1743"/>
      <c r="D114" s="1743"/>
      <c r="E114" s="1805"/>
      <c r="F114" s="1805"/>
      <c r="G114" s="1805"/>
      <c r="H114" s="1805"/>
      <c r="I114" s="1743"/>
    </row>
    <row r="115" spans="1:27" ht="18.75" customHeight="1">
      <c r="A115" s="3664" t="s">
        <v>1439</v>
      </c>
      <c r="B115" s="3665"/>
      <c r="C115" s="3665"/>
      <c r="D115" s="3665"/>
      <c r="E115" s="3665"/>
      <c r="F115" s="3665"/>
      <c r="G115" s="3665"/>
      <c r="H115" s="3665"/>
      <c r="I115" s="3666"/>
    </row>
    <row r="116" spans="1:27" ht="27" customHeight="1">
      <c r="A116" s="3621" t="s">
        <v>1440</v>
      </c>
      <c r="B116" s="3625" t="s">
        <v>1441</v>
      </c>
      <c r="C116" s="3625" t="s">
        <v>1442</v>
      </c>
      <c r="D116" s="3631" t="s">
        <v>1443</v>
      </c>
      <c r="E116" s="3632"/>
      <c r="F116" s="3663" t="s">
        <v>1444</v>
      </c>
      <c r="G116" s="3663"/>
      <c r="H116" s="3621" t="s">
        <v>1445</v>
      </c>
      <c r="I116" s="3621"/>
    </row>
    <row r="117" spans="1:27" ht="18.75" customHeight="1">
      <c r="A117" s="3621"/>
      <c r="B117" s="3626"/>
      <c r="C117" s="3626"/>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1" t="s">
        <v>1449</v>
      </c>
      <c r="B119" s="3621"/>
      <c r="C119" s="3621"/>
      <c r="D119" s="3627" t="e">
        <f ca="1">NUMBERSTRING(INT(D118*10000),2)&amp;"元整"</f>
        <v>#N/A</v>
      </c>
      <c r="E119" s="3628"/>
      <c r="F119" s="3627" t="e">
        <f ca="1">NUMBERSTRING(INT(F118*10000),2)&amp;"元整"</f>
        <v>#N/A</v>
      </c>
      <c r="G119" s="3628"/>
      <c r="H119" s="3627" t="e">
        <f ca="1">NUMBERSTRING(INT(H118*10000),2)&amp;"元整"</f>
        <v>#N/A</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7" t="s">
        <v>1449</v>
      </c>
      <c r="B121" s="3629"/>
      <c r="C121" s="3628"/>
      <c r="D121" s="3627" t="str">
        <f>IF(D120=0,"零元整",NUMBERSTRING(INT(D120*10000),2)&amp;"元整")</f>
        <v>零元整</v>
      </c>
      <c r="E121" s="3629"/>
      <c r="F121" s="3629"/>
      <c r="G121" s="3629"/>
      <c r="H121" s="3629"/>
      <c r="I121" s="3628"/>
      <c r="AA121" s="724"/>
    </row>
    <row r="122" spans="1:27" ht="18.75" customHeight="1">
      <c r="A122" s="3633" t="str">
        <f>IF(项目基本情况!B9="房地产市场价值","",MID(E107,3,LEN(E107)-2))</f>
        <v>房地产抵押价值</v>
      </c>
      <c r="B122" s="3633"/>
      <c r="C122" s="3633"/>
      <c r="D122" s="3622" t="e">
        <f ca="1">H107</f>
        <v>#N/A</v>
      </c>
      <c r="E122" s="3623"/>
      <c r="F122" s="3623"/>
      <c r="G122" s="3623"/>
      <c r="H122" s="3623"/>
      <c r="I122" s="3624"/>
      <c r="AA122" s="724"/>
    </row>
    <row r="123" spans="1:27" ht="18.75" customHeight="1">
      <c r="A123" s="3621" t="s">
        <v>1449</v>
      </c>
      <c r="B123" s="3621"/>
      <c r="C123" s="3621"/>
      <c r="D123" s="3627" t="e">
        <f ca="1">NUMBERSTRING(INT(D122*10000),2)&amp;"元整"</f>
        <v>#N/A</v>
      </c>
      <c r="E123" s="3629"/>
      <c r="F123" s="3629"/>
      <c r="G123" s="3629"/>
      <c r="H123" s="3629"/>
      <c r="I123" s="3628"/>
      <c r="AA123" s="724"/>
    </row>
    <row r="124" spans="1:27" ht="18.75" customHeight="1">
      <c r="A124" s="3633" t="str">
        <f>IF(项目基本情况!B9="房地产市场价值","",MID(E109,3,LEN(E109)-2))</f>
        <v/>
      </c>
      <c r="B124" s="3633"/>
      <c r="C124" s="3633"/>
      <c r="D124" s="3622" t="str">
        <f>H109</f>
        <v>——</v>
      </c>
      <c r="E124" s="3623"/>
      <c r="F124" s="3623"/>
      <c r="G124" s="3623"/>
      <c r="H124" s="3623"/>
      <c r="I124" s="3624"/>
      <c r="AA124" s="724"/>
    </row>
    <row r="125" spans="1:27" ht="18.75" customHeight="1">
      <c r="A125" s="3621" t="s">
        <v>1449</v>
      </c>
      <c r="B125" s="3621"/>
      <c r="C125" s="3621"/>
      <c r="D125" s="3627" t="e">
        <f>NUMBERSTRING(INT(D124*10000),2)&amp;"元整"</f>
        <v>#VALUE!</v>
      </c>
      <c r="E125" s="3629"/>
      <c r="F125" s="3629"/>
      <c r="G125" s="3629"/>
      <c r="H125" s="3629"/>
      <c r="I125" s="3628"/>
      <c r="AA125" s="724"/>
    </row>
    <row r="126" spans="1:27" ht="18.75" customHeight="1">
      <c r="A126" s="3633" t="str">
        <f>IF(项目基本情况!B9="房地产市场价值","",MID(E111,3,LEN(E111)-2))</f>
        <v>抵押净值</v>
      </c>
      <c r="B126" s="3633"/>
      <c r="C126" s="3633"/>
      <c r="D126" s="3622" t="e">
        <f ca="1">H111</f>
        <v>#N/A</v>
      </c>
      <c r="E126" s="3623"/>
      <c r="F126" s="3623"/>
      <c r="G126" s="3623"/>
      <c r="H126" s="3623"/>
      <c r="I126" s="3624"/>
      <c r="AA126" s="724"/>
    </row>
    <row r="127" spans="1:27" ht="18.75" customHeight="1">
      <c r="A127" s="3621" t="s">
        <v>1449</v>
      </c>
      <c r="B127" s="3621"/>
      <c r="C127" s="3621"/>
      <c r="D127" s="3627" t="e">
        <f ca="1">NUMBERSTRING(INT(D126*10000),2)&amp;"元整"</f>
        <v>#N/A</v>
      </c>
      <c r="E127" s="3629"/>
      <c r="F127" s="3629"/>
      <c r="G127" s="3629"/>
      <c r="H127" s="3629"/>
      <c r="I127" s="3628"/>
      <c r="AA127" s="724"/>
    </row>
    <row r="128" spans="1:27" ht="21.75" customHeight="1">
      <c r="A128" s="3630" t="s">
        <v>1450</v>
      </c>
      <c r="B128" s="3630"/>
      <c r="C128" s="3630"/>
      <c r="D128" s="3630"/>
      <c r="E128" s="3630"/>
      <c r="F128" s="3630"/>
      <c r="G128" s="3630"/>
      <c r="H128" s="3630"/>
      <c r="I128" s="3630"/>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0</v>
      </c>
      <c r="D6" s="217"/>
      <c r="E6" s="218"/>
      <c r="F6" s="218"/>
      <c r="G6" s="219"/>
    </row>
    <row r="7" spans="1:9" s="214" customFormat="1" ht="13.5" customHeight="1">
      <c r="A7" s="774" t="s">
        <v>1471</v>
      </c>
      <c r="B7" s="215" t="s">
        <v>1472</v>
      </c>
      <c r="C7" s="220">
        <f>ROUND(C6*F7,0)</f>
        <v>0</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5.0000000000000001E-4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5.0000000000000001E-4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0" t="s">
        <v>1541</v>
      </c>
    </row>
    <row r="43" spans="1:7" ht="13.5" customHeight="1">
      <c r="A43" s="776" t="s">
        <v>346</v>
      </c>
      <c r="B43" s="215" t="s">
        <v>1503</v>
      </c>
      <c r="C43" s="238" t="e">
        <f ca="1">ROUND(IF('数据-取费表'!B22&lt;=1,C39*F22*'数据-取费表'!B21/2,C39*(POWER((1+F22),'数据-取费表'!B21/2)-1)),0)</f>
        <v>#N/A</v>
      </c>
      <c r="D43" s="238"/>
      <c r="E43" s="238"/>
      <c r="F43" s="239"/>
      <c r="G43" s="3701"/>
    </row>
    <row r="44" spans="1:7" ht="13.5" customHeight="1">
      <c r="A44" s="776" t="s">
        <v>347</v>
      </c>
      <c r="B44" s="215" t="s">
        <v>1506</v>
      </c>
      <c r="C44" s="238">
        <f ca="1">ROUND(IF('数据-取费表'!B22&lt;=1,C40*F22*'数据-取费表'!B21/2,C40*(POWER((1+F22),'数据-取费表'!B21/2)-1)),4)</f>
        <v>5.0000000000000001E-4</v>
      </c>
      <c r="D44" s="238"/>
      <c r="E44" s="238"/>
      <c r="F44" s="239"/>
      <c r="G44" s="3702"/>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0.69</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3459"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0</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t="e">
        <f>C30</f>
        <v>#DIV/0!</v>
      </c>
      <c r="C2" s="1995" t="s">
        <v>1931</v>
      </c>
      <c r="D2" s="1996" t="s">
        <v>1932</v>
      </c>
      <c r="E2" s="3418" t="s">
        <v>672</v>
      </c>
      <c r="F2" s="1996" t="s">
        <v>1933</v>
      </c>
      <c r="G2" s="1997">
        <f>IF(E2="商业",项目基本情况!B37,IF(E2="办公",项目基本情况!C37,IF(E2="住宅",项目基本情况!D37,IF(E2="工业",项目基本情况!E37,项目基本情况!F37))))</f>
        <v>0</v>
      </c>
      <c r="H2" s="1996" t="s">
        <v>1934</v>
      </c>
      <c r="I2" s="1997">
        <f>IF(E2="商业",项目基本情况!B38,IF(E2="办公",项目基本情况!C38,IF(E2="住宅",项目基本情况!D38,IF(E2="工业",项目基本情况!E38,项目基本情况!F38))))</f>
        <v>0</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5" t="s">
        <v>1937</v>
      </c>
      <c r="D3" s="1996" t="s">
        <v>1938</v>
      </c>
      <c r="E3" s="3416" t="s">
        <v>2438</v>
      </c>
      <c r="F3" s="2000" t="s">
        <v>3451</v>
      </c>
      <c r="G3" s="748">
        <f>IF(F3="宗地容积率",'数据-汇总表'!I4,IF(F3="估价对象容积率",'数据-汇总表'!I6,'数据-汇总表'!I7))</f>
        <v>1</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0</v>
      </c>
      <c r="D5" s="1335">
        <f>ROUND(C6*C17+C20,0)</f>
        <v>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t="e">
        <f t="shared" si="0"/>
        <v>#DIV/0!</v>
      </c>
      <c r="U7" s="1209"/>
      <c r="V7" s="3357" t="e">
        <f t="shared" si="1"/>
        <v>#DIV/0!</v>
      </c>
      <c r="W7" s="3479" t="s">
        <v>1951</v>
      </c>
      <c r="X7" s="1210">
        <f>G2</f>
        <v>0</v>
      </c>
      <c r="Y7" s="1210" t="s">
        <v>1952</v>
      </c>
      <c r="Z7" s="1211">
        <f>G3</f>
        <v>1</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t="e">
        <f t="shared" si="0"/>
        <v>#DIV/0!</v>
      </c>
      <c r="U8" s="1209"/>
      <c r="V8" s="3357" t="e">
        <f t="shared" si="1"/>
        <v>#DIV/0!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t="e">
        <f t="shared" si="0"/>
        <v>#DIV/0!</v>
      </c>
      <c r="U9" s="1209"/>
      <c r="V9" s="3357" t="e">
        <f t="shared" si="1"/>
        <v>#DIV/0!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t="e">
        <f t="shared" si="0"/>
        <v>#DIV/0!</v>
      </c>
      <c r="U10" s="1209"/>
      <c r="V10" s="3357" t="e">
        <f t="shared" si="1"/>
        <v>#DIV/0!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f>ROUND(IF(F21="与级别开发程度一致",0,(G21-E21)/C21),0)</f>
        <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3452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t="e">
        <f>ROUND(POWER(1+G24,J24-I24)*(POWER(1+G24,I24)-1)/(POWER(1+G24,J24)-1),4)</f>
        <v>#DIV/0!</v>
      </c>
      <c r="D24" s="2056" t="s">
        <v>2003</v>
      </c>
      <c r="E24" s="1331">
        <f>存贷款利率!E24/100</f>
        <v>4.3499999999999997E-2</v>
      </c>
      <c r="F24" s="2056" t="s">
        <v>1995</v>
      </c>
      <c r="G24" s="764">
        <f>SUMIF(M30:Q30,E2,M33:Q33)</f>
        <v>5.5E-2</v>
      </c>
      <c r="H24" s="2056" t="s">
        <v>2004</v>
      </c>
      <c r="I24" s="765" t="e">
        <f>SUMIF('数据-取费表'!C6:C15,E2,'数据-取费表'!F6:F15)/COUNTIF('数据-取费表'!C6:C15,E2)</f>
        <v>#DIV/0!</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0</v>
      </c>
      <c r="E26" s="748">
        <f>ROUNDDOWN(G3,1)</f>
        <v>1</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1</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t="e">
        <f>IF(B25="容积率修正",E33+SUM(E37:E42),SUM(V2:V16)+SUM(E37:E42))</f>
        <v>#DIV/0!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t="e">
        <f>E34+SUM(I37:I42)</f>
        <v>#DIV/0!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t="e">
        <f>ROUND(C5*C22*C23*C24*C25*C28,0)</f>
        <v>#DIV/0!</v>
      </c>
      <c r="D33" s="2094">
        <f>'数据-汇总表'!F20</f>
        <v>0</v>
      </c>
      <c r="E33" s="769" t="e">
        <f>ROUND(C33*D33/10000,0)</f>
        <v>#DIV/0!</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t="e">
        <f>ROUND(IF(E2="工业",C33*M42,IF(B25="楼层修正",SUM(V2:V16)*M41*10000/D34,C33*M41)),0)</f>
        <v>#DIV/0!</v>
      </c>
      <c r="D34" s="2099"/>
      <c r="E34" s="769" t="e">
        <f>ROUND(IF(B25="楼层修正",SUM(V2:V16)*M40,C34*D34/10000),0)</f>
        <v>#DIV/0!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t="e">
        <f>ROUND(D5*C22*C23*C24*C28*F37,0)</f>
        <v>#DIV/0!</v>
      </c>
      <c r="D37" s="2094">
        <f>'数据-汇总表'!G20</f>
        <v>0</v>
      </c>
      <c r="E37" s="171" t="e">
        <f>ROUND(C37*D37/10000,0)</f>
        <v>#DIV/0!</v>
      </c>
      <c r="F37" s="171">
        <f>SUMIF(修正!A57:A68,G2,修正!B57:B68)</f>
        <v>0</v>
      </c>
      <c r="G37" s="171" t="e">
        <f>ROUND(IF(E2="工业",C37*$M$42,C37*$M$41),0)</f>
        <v>#DIV/0!</v>
      </c>
      <c r="H37" s="171">
        <f>D37</f>
        <v>0</v>
      </c>
      <c r="I37" s="171" t="e">
        <f>ROUND(G37*H37/10000,0)</f>
        <v>#DIV/0!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0</v>
      </c>
      <c r="E50" s="740">
        <f>ROUND(SUM(D50:D58),4)</f>
        <v>0</v>
      </c>
      <c r="F50" s="1810">
        <f>IF(E2="商业",SUMIF(L1:L12,G2,N1:N12),"——")</f>
        <v>0</v>
      </c>
      <c r="G50" s="1059">
        <f t="shared" ref="G50:G58" si="8">H50</f>
        <v>0</v>
      </c>
      <c r="H50" s="1062">
        <f t="shared" ref="H50:H58" si="9">IFERROR(ROUNDDOWN($F$50*I50/2,4),"——")</f>
        <v>0</v>
      </c>
      <c r="I50" s="3363">
        <v>0.3</v>
      </c>
      <c r="J50" s="1060">
        <f t="shared" ref="J50:J58" si="10">K50+$G50</f>
        <v>0</v>
      </c>
      <c r="K50" s="1060">
        <f t="shared" ref="K50:K58" si="11">$L50+$G50</f>
        <v>0</v>
      </c>
      <c r="L50" s="1060">
        <v>0</v>
      </c>
      <c r="M50" s="1060">
        <f t="shared" ref="M50:N58" si="12">L50-$G50</f>
        <v>0</v>
      </c>
      <c r="N50" s="1060">
        <f t="shared" si="12"/>
        <v>0</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0</v>
      </c>
      <c r="E51" s="741"/>
      <c r="F51" s="1810"/>
      <c r="G51" s="1059">
        <f t="shared" si="8"/>
        <v>0</v>
      </c>
      <c r="H51" s="1062">
        <f t="shared" si="9"/>
        <v>0</v>
      </c>
      <c r="I51" s="3363">
        <v>0.22</v>
      </c>
      <c r="J51" s="1060">
        <f t="shared" si="10"/>
        <v>0</v>
      </c>
      <c r="K51" s="1060">
        <f t="shared" si="11"/>
        <v>0</v>
      </c>
      <c r="L51" s="1060">
        <v>0</v>
      </c>
      <c r="M51" s="1060">
        <f t="shared" si="12"/>
        <v>0</v>
      </c>
      <c r="N51" s="1060">
        <f t="shared" si="12"/>
        <v>0</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0</v>
      </c>
      <c r="E52" s="741"/>
      <c r="F52" s="1810"/>
      <c r="G52" s="1059">
        <f t="shared" si="8"/>
        <v>0</v>
      </c>
      <c r="H52" s="1062">
        <f t="shared" si="9"/>
        <v>0</v>
      </c>
      <c r="I52" s="3363">
        <v>0.12</v>
      </c>
      <c r="J52" s="1060">
        <f t="shared" si="10"/>
        <v>0</v>
      </c>
      <c r="K52" s="1060">
        <f t="shared" si="11"/>
        <v>0</v>
      </c>
      <c r="L52" s="1060">
        <v>0</v>
      </c>
      <c r="M52" s="1060">
        <f t="shared" si="12"/>
        <v>0</v>
      </c>
      <c r="N52" s="1060">
        <f t="shared" si="12"/>
        <v>0</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0</v>
      </c>
      <c r="E53" s="741"/>
      <c r="F53" s="1810"/>
      <c r="G53" s="1059">
        <f t="shared" si="8"/>
        <v>0</v>
      </c>
      <c r="H53" s="1062">
        <f t="shared" si="9"/>
        <v>0</v>
      </c>
      <c r="I53" s="3363">
        <v>0.05</v>
      </c>
      <c r="J53" s="1060">
        <f t="shared" si="10"/>
        <v>0</v>
      </c>
      <c r="K53" s="1060">
        <f t="shared" si="11"/>
        <v>0</v>
      </c>
      <c r="L53" s="1060">
        <v>0</v>
      </c>
      <c r="M53" s="1060">
        <f t="shared" si="12"/>
        <v>0</v>
      </c>
      <c r="N53" s="1060">
        <f t="shared" si="12"/>
        <v>0</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0</v>
      </c>
      <c r="E54" s="741"/>
      <c r="F54" s="1810"/>
      <c r="G54" s="1059">
        <f t="shared" si="8"/>
        <v>0</v>
      </c>
      <c r="H54" s="1062">
        <f t="shared" si="9"/>
        <v>0</v>
      </c>
      <c r="I54" s="3363">
        <v>0.08</v>
      </c>
      <c r="J54" s="1060">
        <f t="shared" si="10"/>
        <v>0</v>
      </c>
      <c r="K54" s="1060">
        <f t="shared" si="11"/>
        <v>0</v>
      </c>
      <c r="L54" s="1060">
        <v>0</v>
      </c>
      <c r="M54" s="1060">
        <f t="shared" si="12"/>
        <v>0</v>
      </c>
      <c r="N54" s="1060">
        <f t="shared" si="12"/>
        <v>0</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0</v>
      </c>
      <c r="E55" s="741"/>
      <c r="F55" s="1810"/>
      <c r="G55" s="1059">
        <f t="shared" si="8"/>
        <v>0</v>
      </c>
      <c r="H55" s="1062">
        <f t="shared" si="9"/>
        <v>0</v>
      </c>
      <c r="I55" s="3363">
        <v>0.05</v>
      </c>
      <c r="J55" s="1060">
        <f t="shared" si="10"/>
        <v>0</v>
      </c>
      <c r="K55" s="1060">
        <f t="shared" si="11"/>
        <v>0</v>
      </c>
      <c r="L55" s="1060">
        <v>0</v>
      </c>
      <c r="M55" s="1060">
        <f t="shared" si="12"/>
        <v>0</v>
      </c>
      <c r="N55" s="1060">
        <f t="shared" si="12"/>
        <v>0</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0</v>
      </c>
      <c r="E56" s="741"/>
      <c r="F56" s="1810"/>
      <c r="G56" s="1059">
        <f t="shared" si="8"/>
        <v>0</v>
      </c>
      <c r="H56" s="1062">
        <f t="shared" si="9"/>
        <v>0</v>
      </c>
      <c r="I56" s="3363">
        <v>0.05</v>
      </c>
      <c r="J56" s="1060">
        <f t="shared" si="10"/>
        <v>0</v>
      </c>
      <c r="K56" s="1060">
        <f t="shared" si="11"/>
        <v>0</v>
      </c>
      <c r="L56" s="1060">
        <v>0</v>
      </c>
      <c r="M56" s="1060">
        <f t="shared" si="12"/>
        <v>0</v>
      </c>
      <c r="N56" s="1060">
        <f t="shared" si="12"/>
        <v>0</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0</v>
      </c>
      <c r="E57" s="741"/>
      <c r="F57" s="1810"/>
      <c r="G57" s="1059">
        <f t="shared" si="8"/>
        <v>0</v>
      </c>
      <c r="H57" s="1062">
        <f t="shared" si="9"/>
        <v>0</v>
      </c>
      <c r="I57" s="3363">
        <v>0.08</v>
      </c>
      <c r="J57" s="1060">
        <f t="shared" si="10"/>
        <v>0</v>
      </c>
      <c r="K57" s="1060">
        <f t="shared" si="11"/>
        <v>0</v>
      </c>
      <c r="L57" s="1060">
        <v>0</v>
      </c>
      <c r="M57" s="1060">
        <f t="shared" si="12"/>
        <v>0</v>
      </c>
      <c r="N57" s="1060">
        <f t="shared" si="12"/>
        <v>0</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0</v>
      </c>
      <c r="E58" s="742"/>
      <c r="F58" s="1810"/>
      <c r="G58" s="1059">
        <f t="shared" si="8"/>
        <v>0</v>
      </c>
      <c r="H58" s="1062">
        <f t="shared" si="9"/>
        <v>0</v>
      </c>
      <c r="I58" s="3364">
        <v>0.05</v>
      </c>
      <c r="J58" s="1060">
        <f t="shared" si="10"/>
        <v>0</v>
      </c>
      <c r="K58" s="1060">
        <f t="shared" si="11"/>
        <v>0</v>
      </c>
      <c r="L58" s="1060">
        <v>0</v>
      </c>
      <c r="M58" s="1060">
        <f t="shared" si="12"/>
        <v>0</v>
      </c>
      <c r="N58" s="1060">
        <f t="shared" si="12"/>
        <v>0</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8" t="s">
        <v>3292</v>
      </c>
      <c r="B103" s="3808"/>
      <c r="C103" s="3808"/>
      <c r="D103" s="3808"/>
      <c r="E103" s="3808"/>
      <c r="F103" s="3808"/>
      <c r="G103" s="3808"/>
      <c r="H103" s="3808"/>
      <c r="I103" s="3808"/>
      <c r="J103" s="3808"/>
      <c r="K103" s="3480"/>
      <c r="L103" s="3480"/>
      <c r="M103" s="3480"/>
      <c r="N103" s="3480"/>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5"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6"/>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6"/>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6"/>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6"/>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6"/>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7"/>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8" t="s">
        <v>3309</v>
      </c>
      <c r="B113" s="3798"/>
      <c r="C113" s="3798"/>
      <c r="D113" s="3798"/>
      <c r="E113" s="3798"/>
      <c r="F113" s="3798"/>
      <c r="G113" s="3798"/>
      <c r="H113" s="3798"/>
      <c r="I113" s="3798"/>
      <c r="J113" s="3798"/>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1</v>
      </c>
      <c r="C116" s="3396" t="s">
        <v>3311</v>
      </c>
      <c r="D116" s="3397">
        <f>SUMPRODUCT((A118:A122=F116)*(B117:M117=H116)*B118:M122)</f>
        <v>0</v>
      </c>
      <c r="E116" s="1996" t="s">
        <v>1932</v>
      </c>
      <c r="F116" s="3398" t="str">
        <f>E2</f>
        <v>商业</v>
      </c>
      <c r="G116" s="1996" t="s">
        <v>1933</v>
      </c>
      <c r="H116" s="3398">
        <f>G2</f>
        <v>0</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7">I118</f>
        <v>0.8306</v>
      </c>
      <c r="K118" s="3384">
        <f t="shared" si="37"/>
        <v>0.8306</v>
      </c>
      <c r="L118" s="3384">
        <f t="shared" si="37"/>
        <v>0.8306</v>
      </c>
      <c r="M118" s="3407">
        <f t="shared" si="37"/>
        <v>0.8306</v>
      </c>
      <c r="N118" s="3394"/>
    </row>
    <row r="119" spans="1:14">
      <c r="A119" s="3406" t="s">
        <v>1987</v>
      </c>
      <c r="B119" s="3384">
        <f>ROUND(0.993-0.0112*B116,4)</f>
        <v>0.98180000000000001</v>
      </c>
      <c r="C119" s="3384">
        <f>B119</f>
        <v>0.98180000000000001</v>
      </c>
      <c r="D119" s="3384">
        <f>ROUND(0.9415-0.0142*B116,4)</f>
        <v>0.92730000000000001</v>
      </c>
      <c r="E119" s="3384">
        <f t="shared" ref="E119:H120" si="38">D119</f>
        <v>0.92730000000000001</v>
      </c>
      <c r="F119" s="3384">
        <f t="shared" si="38"/>
        <v>0.92730000000000001</v>
      </c>
      <c r="G119" s="3384">
        <f t="shared" si="38"/>
        <v>0.92730000000000001</v>
      </c>
      <c r="H119" s="3384">
        <f t="shared" si="38"/>
        <v>0.92730000000000001</v>
      </c>
      <c r="I119" s="3384">
        <f>ROUND(0.838-0.0182*B116,4)</f>
        <v>0.81979999999999997</v>
      </c>
      <c r="J119" s="3384">
        <f t="shared" si="37"/>
        <v>0.81979999999999997</v>
      </c>
      <c r="K119" s="3384">
        <f t="shared" si="37"/>
        <v>0.81979999999999997</v>
      </c>
      <c r="L119" s="3384">
        <f t="shared" si="37"/>
        <v>0.81979999999999997</v>
      </c>
      <c r="M119" s="3407">
        <f t="shared" si="37"/>
        <v>0.81979999999999997</v>
      </c>
      <c r="N119" s="3394"/>
    </row>
    <row r="120" spans="1:14">
      <c r="A120" s="3406" t="s">
        <v>1988</v>
      </c>
      <c r="B120" s="3384">
        <f>ROUND(0.9448-0.0115*B116,4)</f>
        <v>0.93330000000000002</v>
      </c>
      <c r="C120" s="3384">
        <f>B120</f>
        <v>0.93330000000000002</v>
      </c>
      <c r="D120" s="3384">
        <f>ROUND(0.937-0.0145*B116,4)</f>
        <v>0.92249999999999999</v>
      </c>
      <c r="E120" s="3384">
        <f t="shared" si="38"/>
        <v>0.92249999999999999</v>
      </c>
      <c r="F120" s="3384">
        <f t="shared" si="38"/>
        <v>0.92249999999999999</v>
      </c>
      <c r="G120" s="3384">
        <f t="shared" si="38"/>
        <v>0.92249999999999999</v>
      </c>
      <c r="H120" s="3384">
        <f t="shared" si="38"/>
        <v>0.92249999999999999</v>
      </c>
      <c r="I120" s="3384">
        <f>ROUND(0.7965-0.0185*B116,4)</f>
        <v>0.77800000000000002</v>
      </c>
      <c r="J120" s="3384">
        <f t="shared" si="37"/>
        <v>0.77800000000000002</v>
      </c>
      <c r="K120" s="3384">
        <f t="shared" si="37"/>
        <v>0.77800000000000002</v>
      </c>
      <c r="L120" s="3384">
        <f t="shared" si="37"/>
        <v>0.77800000000000002</v>
      </c>
      <c r="M120" s="3407">
        <f t="shared" si="37"/>
        <v>0.77800000000000002</v>
      </c>
      <c r="N120" s="3394"/>
    </row>
    <row r="121" spans="1:14" ht="13.5" thickBot="1">
      <c r="A121" s="3408" t="s">
        <v>1989</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7"/>
        <v>0.57150000000000001</v>
      </c>
      <c r="K121" s="3409">
        <f t="shared" si="37"/>
        <v>0.57150000000000001</v>
      </c>
      <c r="L121" s="3409">
        <f t="shared" si="37"/>
        <v>0.57150000000000001</v>
      </c>
      <c r="M121" s="3410">
        <f t="shared" si="37"/>
        <v>0.57150000000000001</v>
      </c>
      <c r="N121" s="3394"/>
    </row>
    <row r="122" spans="1:14">
      <c r="A122" s="3411" t="s">
        <v>2611</v>
      </c>
      <c r="B122" s="3384">
        <f>ROUND(0.9404-0.0106*B116,4)</f>
        <v>0.92979999999999996</v>
      </c>
      <c r="C122" s="3384">
        <f>B122</f>
        <v>0.92979999999999996</v>
      </c>
      <c r="D122" s="3384">
        <f>ROUND(0.8955-0.0135*B116,4)</f>
        <v>0.88200000000000001</v>
      </c>
      <c r="E122" s="3384">
        <f t="shared" ref="E122:H122" si="39">D122</f>
        <v>0.88200000000000001</v>
      </c>
      <c r="F122" s="3384">
        <f t="shared" si="39"/>
        <v>0.88200000000000001</v>
      </c>
      <c r="G122" s="3384">
        <f t="shared" si="39"/>
        <v>0.88200000000000001</v>
      </c>
      <c r="H122" s="3384">
        <f t="shared" si="39"/>
        <v>0.88200000000000001</v>
      </c>
      <c r="I122" s="3384">
        <f>ROUND(0.7632-0.0166*B116,4)</f>
        <v>0.74660000000000004</v>
      </c>
      <c r="J122" s="3384">
        <f t="shared" si="37"/>
        <v>0.74660000000000004</v>
      </c>
      <c r="K122" s="3384">
        <f t="shared" si="37"/>
        <v>0.74660000000000004</v>
      </c>
      <c r="L122" s="3384">
        <f t="shared" si="37"/>
        <v>0.74660000000000004</v>
      </c>
      <c r="M122" s="3407">
        <f t="shared" si="37"/>
        <v>0.74660000000000004</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C8"/>
  <sheetViews>
    <sheetView workbookViewId="0">
      <selection activeCell="D2" sqref="D2"/>
    </sheetView>
  </sheetViews>
  <sheetFormatPr defaultRowHeight="13.5"/>
  <sheetData>
    <row r="2" spans="1:3">
      <c r="A2">
        <v>1</v>
      </c>
      <c r="B2">
        <v>3636.6</v>
      </c>
    </row>
    <row r="3" spans="1:3">
      <c r="A3">
        <v>2</v>
      </c>
      <c r="B3">
        <v>275.39999999999998</v>
      </c>
    </row>
    <row r="4" spans="1:3">
      <c r="A4">
        <v>3</v>
      </c>
      <c r="B4">
        <v>706</v>
      </c>
    </row>
    <row r="5" spans="1:3">
      <c r="A5">
        <v>4</v>
      </c>
      <c r="B5">
        <v>3677.4</v>
      </c>
    </row>
    <row r="6" spans="1:3">
      <c r="A6">
        <v>5</v>
      </c>
      <c r="B6">
        <v>3288</v>
      </c>
    </row>
    <row r="7" spans="1:3">
      <c r="A7">
        <v>6</v>
      </c>
      <c r="B7">
        <v>5170.24</v>
      </c>
    </row>
    <row r="8" spans="1:3">
      <c r="A8">
        <v>7</v>
      </c>
      <c r="B8">
        <v>3229.35</v>
      </c>
      <c r="C8">
        <v>245.25</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927</v>
      </c>
      <c r="B2" s="3529" t="s">
        <v>928</v>
      </c>
      <c r="C2" s="3529" t="s">
        <v>929</v>
      </c>
      <c r="D2" s="3529" t="str">
        <f>结果表!D116</f>
        <v>出让国有建设用地使用权价值</v>
      </c>
      <c r="E2" s="3529"/>
      <c r="F2" s="3529" t="str">
        <f>结果表!F116</f>
        <v>在建建筑物价值</v>
      </c>
      <c r="G2" s="3529"/>
      <c r="H2" s="3529" t="str">
        <f>IF(项目基本情况!B9="房地产市场价值","房地产市场价值","房地产价值")</f>
        <v>房地产价值</v>
      </c>
      <c r="I2" s="3529"/>
    </row>
    <row r="3" spans="1:9" ht="15">
      <c r="A3" s="3530"/>
      <c r="B3" s="3530"/>
      <c r="C3" s="3530"/>
      <c r="D3" s="850" t="s">
        <v>924</v>
      </c>
      <c r="E3" s="850" t="s">
        <v>930</v>
      </c>
      <c r="F3" s="850" t="s">
        <v>924</v>
      </c>
      <c r="G3" s="850" t="s">
        <v>925</v>
      </c>
      <c r="H3" s="850" t="s">
        <v>924</v>
      </c>
      <c r="I3" s="850" t="s">
        <v>925</v>
      </c>
    </row>
    <row r="4" spans="1:9" ht="15">
      <c r="A4" s="1501" t="str">
        <f>项目基本情况!S2</f>
        <v>北京市房地产</v>
      </c>
      <c r="B4" s="850">
        <f>项目基本情况!C17</f>
        <v>20228.239999999998</v>
      </c>
      <c r="C4" s="850">
        <f>项目基本情况!C18</f>
        <v>73586.240000000005</v>
      </c>
      <c r="D4" s="850">
        <f ca="1">结果表!D118</f>
        <v>9656</v>
      </c>
      <c r="E4" s="850">
        <f ca="1">结果表!E118</f>
        <v>4773</v>
      </c>
      <c r="F4" s="850">
        <f ca="1">结果表!F118</f>
        <v>5245</v>
      </c>
      <c r="G4" s="850">
        <f ca="1">结果表!G118</f>
        <v>2593</v>
      </c>
      <c r="H4" s="850">
        <f ca="1">结果表!H118</f>
        <v>14901</v>
      </c>
      <c r="I4" s="850">
        <f ca="1">结果表!I118</f>
        <v>7366</v>
      </c>
    </row>
    <row r="5" spans="1:9" ht="30" customHeight="1">
      <c r="A5" s="3530" t="s">
        <v>926</v>
      </c>
      <c r="B5" s="3530"/>
      <c r="C5" s="3530"/>
      <c r="D5" s="3530" t="str">
        <f ca="1">结果表!D119</f>
        <v>玖仟陆佰伍拾陆万元整</v>
      </c>
      <c r="E5" s="3530"/>
      <c r="F5" s="3530" t="str">
        <f ca="1">结果表!F119</f>
        <v>伍仟贰佰肆拾伍万元整</v>
      </c>
      <c r="G5" s="3530"/>
      <c r="H5" s="3530" t="str">
        <f ca="1">结果表!H119</f>
        <v>壹亿肆仟玖佰零壹万元整</v>
      </c>
      <c r="I5" s="3530"/>
    </row>
    <row r="6" spans="1:9" ht="15.75">
      <c r="A6" s="3531" t="str">
        <f>结果表!A120</f>
        <v>估价师知悉的法定优先受偿款</v>
      </c>
      <c r="B6" s="3531"/>
      <c r="C6" s="3531"/>
      <c r="D6" s="3531">
        <f>结果表!D120</f>
        <v>0</v>
      </c>
      <c r="E6" s="3531"/>
      <c r="F6" s="3531"/>
      <c r="G6" s="3531"/>
      <c r="H6" s="3531"/>
      <c r="I6" s="3531"/>
    </row>
    <row r="7" spans="1:9" ht="15">
      <c r="A7" s="3530" t="s">
        <v>926</v>
      </c>
      <c r="B7" s="3530"/>
      <c r="C7" s="3530"/>
      <c r="D7" s="3532" t="str">
        <f>结果表!D121</f>
        <v>零元整</v>
      </c>
      <c r="E7" s="3533"/>
      <c r="F7" s="3533"/>
      <c r="G7" s="3533"/>
      <c r="H7" s="3533"/>
      <c r="I7" s="3534"/>
    </row>
    <row r="8" spans="1:9" ht="15.75">
      <c r="A8" s="3531" t="str">
        <f>结果表!A122</f>
        <v>房地产抵押价值</v>
      </c>
      <c r="B8" s="3531"/>
      <c r="C8" s="3531"/>
      <c r="D8" s="3531">
        <f ca="1">结果表!D122</f>
        <v>14901</v>
      </c>
      <c r="E8" s="3531"/>
      <c r="F8" s="3531"/>
      <c r="G8" s="3531"/>
      <c r="H8" s="3531"/>
      <c r="I8" s="3531"/>
    </row>
    <row r="9" spans="1:9" ht="15">
      <c r="A9" s="3530" t="s">
        <v>926</v>
      </c>
      <c r="B9" s="3530"/>
      <c r="C9" s="3530"/>
      <c r="D9" s="3530" t="str">
        <f ca="1">结果表!D123</f>
        <v>壹亿肆仟玖佰零壹万元整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926</v>
      </c>
      <c r="B11" s="3530"/>
      <c r="C11" s="3530"/>
      <c r="D11" s="3530" t="e">
        <f>结果表!D125</f>
        <v>#VALUE!</v>
      </c>
      <c r="E11" s="3530"/>
      <c r="F11" s="3530"/>
      <c r="G11" s="3530"/>
      <c r="H11" s="3530"/>
      <c r="I11" s="3530"/>
    </row>
    <row r="12" spans="1:9" ht="15.75">
      <c r="A12" s="3531" t="str">
        <f>结果表!A126</f>
        <v>抵押净值</v>
      </c>
      <c r="B12" s="3531"/>
      <c r="C12" s="3531"/>
      <c r="D12" s="3531">
        <f ca="1">结果表!D126</f>
        <v>14099</v>
      </c>
      <c r="E12" s="3531"/>
      <c r="F12" s="3531"/>
      <c r="G12" s="3531"/>
      <c r="H12" s="3531"/>
      <c r="I12" s="3531"/>
    </row>
    <row r="13" spans="1:9" ht="15.75" thickBot="1">
      <c r="A13" s="3535" t="s">
        <v>926</v>
      </c>
      <c r="B13" s="3535"/>
      <c r="C13" s="3535"/>
      <c r="D13" s="3535" t="str">
        <f ca="1">结果表!D127</f>
        <v>壹亿肆仟零玖拾玖万元整</v>
      </c>
      <c r="E13" s="3535"/>
      <c r="F13" s="3535"/>
      <c r="G13" s="3535"/>
      <c r="H13" s="3535"/>
      <c r="I13" s="3535"/>
    </row>
    <row r="14" spans="1:9" ht="15" thickTop="1">
      <c r="A14" s="3536" t="s">
        <v>931</v>
      </c>
      <c r="B14" s="3536"/>
      <c r="C14" s="3536"/>
      <c r="D14" s="3536"/>
      <c r="E14" s="3536"/>
      <c r="F14" s="3536"/>
      <c r="G14" s="3536"/>
      <c r="H14" s="3536"/>
      <c r="I14" s="3536"/>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2" t="s">
        <v>2838</v>
      </c>
      <c r="B1" s="3842"/>
      <c r="C1" s="3842"/>
      <c r="D1" s="3842"/>
      <c r="E1" s="3842"/>
      <c r="F1" s="3842"/>
      <c r="G1" s="384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4" t="s">
        <v>3180</v>
      </c>
      <c r="B1" s="384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5" t="s">
        <v>3231</v>
      </c>
      <c r="B1" s="3845"/>
      <c r="C1" s="3845"/>
      <c r="D1" s="3845"/>
      <c r="E1" s="3845"/>
      <c r="F1" s="3846"/>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45467</v>
      </c>
      <c r="B1" s="3206" t="s">
        <v>3368</v>
      </c>
      <c r="C1" s="3207"/>
      <c r="D1" s="3207"/>
      <c r="E1" s="3207"/>
      <c r="F1" s="3207"/>
      <c r="G1" s="3207"/>
      <c r="H1" s="3207"/>
      <c r="I1" s="3207"/>
      <c r="J1" s="3161"/>
      <c r="K1" s="3207" t="s">
        <v>453</v>
      </c>
      <c r="L1" s="3207"/>
      <c r="M1" s="3207"/>
      <c r="N1" s="3207"/>
      <c r="O1" s="3207"/>
      <c r="P1" s="3207"/>
      <c r="Q1" s="3161"/>
      <c r="R1" s="3847" t="s">
        <v>455</v>
      </c>
      <c r="S1" s="3848"/>
      <c r="T1" s="3848"/>
      <c r="U1" s="3848"/>
      <c r="V1" s="3848"/>
      <c r="W1" s="3848"/>
      <c r="X1" s="3161"/>
      <c r="Y1" s="3847" t="s">
        <v>456</v>
      </c>
      <c r="Z1" s="3848"/>
      <c r="AA1" s="3848"/>
      <c r="AB1" s="3848"/>
      <c r="AC1" s="3848"/>
      <c r="AD1" s="384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7" t="s">
        <v>2826</v>
      </c>
      <c r="S23" s="3848"/>
      <c r="T23" s="3848"/>
      <c r="U23" s="3848"/>
      <c r="V23" s="3848"/>
      <c r="W23" s="3848"/>
      <c r="X23" s="3161"/>
      <c r="Y23" s="3847" t="s">
        <v>2827</v>
      </c>
      <c r="Z23" s="3848"/>
      <c r="AA23" s="3848"/>
      <c r="AB23" s="3848"/>
      <c r="AC23" s="3848"/>
      <c r="AD23" s="384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4" t="s">
        <v>451</v>
      </c>
      <c r="C1" s="3854"/>
      <c r="D1" s="3854"/>
      <c r="E1" s="3854"/>
      <c r="F1" s="3854"/>
      <c r="G1" s="3850" t="s">
        <v>452</v>
      </c>
      <c r="H1" s="3850"/>
      <c r="I1" s="3850"/>
      <c r="J1" s="3850"/>
      <c r="K1" s="3850"/>
      <c r="L1" s="3850"/>
      <c r="N1" s="3850" t="s">
        <v>453</v>
      </c>
      <c r="O1" s="3850"/>
      <c r="P1" s="3850"/>
      <c r="Q1" s="3850"/>
      <c r="S1" s="3850" t="s">
        <v>454</v>
      </c>
      <c r="T1" s="3850"/>
      <c r="U1" s="3850"/>
      <c r="V1" s="3850"/>
      <c r="X1" s="3849" t="s">
        <v>455</v>
      </c>
      <c r="Y1" s="3850"/>
      <c r="Z1" s="3850"/>
      <c r="AA1" s="3850"/>
      <c r="AB1" s="3850"/>
      <c r="AD1" s="3849" t="s">
        <v>456</v>
      </c>
      <c r="AE1" s="3850"/>
      <c r="AF1" s="3850"/>
      <c r="AG1" s="3850"/>
      <c r="AH1" s="3850"/>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1">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2">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2">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3">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1">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2">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2">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45467</v>
      </c>
      <c r="D1" s="1298" t="s">
        <v>602</v>
      </c>
      <c r="E1" s="1293">
        <f>'数据-取费表'!B22</f>
        <v>1.5</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7" t="s">
        <v>948</v>
      </c>
      <c r="B1" s="3537"/>
      <c r="C1" s="3537"/>
      <c r="D1" s="3537"/>
    </row>
    <row r="2" spans="1:4" ht="18">
      <c r="A2" s="3538" t="s">
        <v>932</v>
      </c>
      <c r="B2" s="3538"/>
      <c r="C2" s="3538"/>
      <c r="D2" s="3538"/>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8" t="s">
        <v>938</v>
      </c>
      <c r="B6" s="3538"/>
      <c r="C6" s="3538"/>
      <c r="D6" s="3538"/>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39" t="s">
        <v>941</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40" t="str">
        <f>IF(项目基本情况!B8="抵押","4.本次评估估价师所知悉的法定优先受偿款情况说明如下：","——")</f>
        <v>4.本次评估估价师所知悉的法定优先受偿款情况说明如下：</v>
      </c>
      <c r="B14" s="3541"/>
      <c r="C14" s="3541"/>
      <c r="D14" s="3541"/>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3" t="s">
        <v>942</v>
      </c>
      <c r="B16" s="3543"/>
      <c r="C16" s="3543"/>
      <c r="D16" s="3543"/>
    </row>
    <row r="17" spans="1:4" ht="144" customHeight="1">
      <c r="A17" s="3543" t="s">
        <v>943</v>
      </c>
      <c r="B17" s="3543"/>
      <c r="C17" s="3543"/>
      <c r="D17" s="3543"/>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4"/>
      <c r="C21" s="3544"/>
      <c r="D21" s="3544"/>
    </row>
    <row r="22" spans="1:4" ht="18.75" customHeight="1">
      <c r="A22" s="3545" t="s">
        <v>944</v>
      </c>
      <c r="B22" s="3545"/>
      <c r="C22" s="3545"/>
      <c r="D22" s="3545"/>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1" t="s">
        <v>955</v>
      </c>
      <c r="B15" s="3546" t="s">
        <v>109</v>
      </c>
      <c r="C15" s="3547"/>
    </row>
    <row r="16" spans="1:7" ht="13.5">
      <c r="A16" s="3552"/>
      <c r="B16" s="3546" t="s">
        <v>42</v>
      </c>
      <c r="C16" s="3547"/>
    </row>
    <row r="17" spans="1:3" ht="13.5">
      <c r="A17" s="3552"/>
      <c r="B17" s="3549" t="s">
        <v>956</v>
      </c>
      <c r="C17" s="1528" t="s">
        <v>955</v>
      </c>
    </row>
    <row r="18" spans="1:3" ht="13.5">
      <c r="A18" s="3552"/>
      <c r="B18" s="3549"/>
      <c r="C18" s="1528" t="s">
        <v>957</v>
      </c>
    </row>
    <row r="19" spans="1:3" ht="13.5">
      <c r="A19" s="3552"/>
      <c r="B19" s="3549"/>
      <c r="C19" s="1528" t="s">
        <v>958</v>
      </c>
    </row>
    <row r="20" spans="1:3" ht="13.5">
      <c r="A20" s="3553"/>
      <c r="B20" s="3548" t="s">
        <v>959</v>
      </c>
      <c r="C20" s="3547"/>
    </row>
    <row r="21" spans="1:3" ht="13.5">
      <c r="A21" s="1529" t="s">
        <v>960</v>
      </c>
      <c r="B21" s="1530"/>
      <c r="C21" s="1531"/>
    </row>
    <row r="22" spans="1:3" ht="13.5">
      <c r="A22" s="3550" t="s">
        <v>961</v>
      </c>
      <c r="B22" s="3548" t="s">
        <v>962</v>
      </c>
      <c r="C22" s="3547"/>
    </row>
    <row r="23" spans="1:3" ht="13.5">
      <c r="A23" s="3550"/>
      <c r="B23" s="3548" t="s">
        <v>963</v>
      </c>
      <c r="C23" s="3547"/>
    </row>
    <row r="24" spans="1:3" ht="13.5">
      <c r="A24" s="3550"/>
      <c r="B24" s="3548" t="s">
        <v>964</v>
      </c>
      <c r="C24" s="3547"/>
    </row>
    <row r="25" spans="1:3" ht="13.5">
      <c r="A25" s="3550"/>
      <c r="B25" s="3549" t="s">
        <v>965</v>
      </c>
      <c r="C25" s="1528" t="s">
        <v>966</v>
      </c>
    </row>
    <row r="26" spans="1:3" ht="13.5">
      <c r="A26" s="3550"/>
      <c r="B26" s="3549"/>
      <c r="C26" s="1528" t="s">
        <v>967</v>
      </c>
    </row>
    <row r="27" spans="1:3" ht="13.5">
      <c r="A27" s="3550"/>
      <c r="B27" s="3549"/>
      <c r="C27" s="1528" t="s">
        <v>968</v>
      </c>
    </row>
    <row r="28" spans="1:3" ht="13.5">
      <c r="A28" s="3550"/>
      <c r="B28" s="3549"/>
      <c r="C28" s="1528" t="s">
        <v>969</v>
      </c>
    </row>
    <row r="29" spans="1:3" ht="13.5">
      <c r="A29" s="3550"/>
      <c r="B29" s="3549"/>
      <c r="C29" s="1528" t="s">
        <v>970</v>
      </c>
    </row>
    <row r="30" spans="1:3" ht="13.5">
      <c r="A30" s="3550"/>
      <c r="B30" s="3549"/>
      <c r="C30" s="1528" t="s">
        <v>971</v>
      </c>
    </row>
    <row r="31" spans="1:3" ht="13.5">
      <c r="A31" s="3550"/>
      <c r="B31" s="3549"/>
      <c r="C31" s="1528" t="s">
        <v>972</v>
      </c>
    </row>
    <row r="32" spans="1:3" ht="13.5">
      <c r="A32" s="3550"/>
      <c r="B32" s="3549"/>
      <c r="C32" s="1528" t="s">
        <v>973</v>
      </c>
    </row>
    <row r="33" spans="1:3" ht="13.5">
      <c r="A33" s="3550"/>
      <c r="B33" s="3549"/>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45475</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4" t="s">
        <v>2155</v>
      </c>
      <c r="B17" s="3554"/>
      <c r="C17" s="3554"/>
      <c r="D17" s="3554"/>
      <c r="E17" s="3554"/>
      <c r="F17" s="3554"/>
      <c r="G17" s="3554"/>
      <c r="H17" s="3554"/>
    </row>
    <row r="18" spans="1:8" ht="24" customHeight="1">
      <c r="A18" s="3555" t="s">
        <v>2156</v>
      </c>
      <c r="B18" s="3555"/>
      <c r="C18" s="3555"/>
      <c r="D18" s="2339"/>
      <c r="E18" s="3556" t="s">
        <v>2157</v>
      </c>
      <c r="F18" s="3555"/>
      <c r="G18" s="3555"/>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'基准地价修正-商业'!Print_Area</vt:lpstr>
      <vt:lpstr>假设开发法!Print_Area</vt:lpstr>
      <vt:lpstr>结果表!Print_Area</vt:lpstr>
      <vt:lpstr>'结果表-6号楼'!Print_Area</vt:lpstr>
      <vt:lpstr>收益法!Print_Area</vt:lpstr>
      <vt:lpstr>'收益法 (元)'!Print_Area</vt:lpstr>
      <vt:lpstr>'收益法（汇总）'!Print_Area</vt:lpstr>
      <vt:lpstr>'收益法-6号楼'!Print_Area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2024-07-02T02:14:10Z</dcterms:modified>
</cp:coreProperties>
</file>